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versity\tadris\karborde computer\Tirchebolook\"/>
    </mc:Choice>
  </mc:AlternateContent>
  <xr:revisionPtr revIDLastSave="0" documentId="13_ncr:1_{D4443F33-B083-402D-9628-B2050D43BD35}" xr6:coauthVersionLast="45" xr6:coauthVersionMax="45" xr10:uidLastSave="{00000000-0000-0000-0000-000000000000}"/>
  <bookViews>
    <workbookView xWindow="-98" yWindow="-98" windowWidth="23236" windowHeight="13996" xr2:uid="{00000000-000D-0000-FFFF-FFFF00000000}"/>
  </bookViews>
  <sheets>
    <sheet name="Simple" sheetId="2" r:id="rId1"/>
    <sheet name="Sheet1" sheetId="6" r:id="rId2"/>
    <sheet name="Sheet3" sheetId="3" r:id="rId3"/>
  </sheets>
  <definedNames>
    <definedName name="solver_adj" localSheetId="0" hidden="1">Simple!$L$86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Simple!#REF!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</workbook>
</file>

<file path=xl/calcChain.xml><?xml version="1.0" encoding="utf-8"?>
<calcChain xmlns="http://schemas.openxmlformats.org/spreadsheetml/2006/main">
  <c r="D50" i="2" l="1"/>
  <c r="D44" i="2"/>
  <c r="B62" i="2"/>
  <c r="B63" i="2"/>
  <c r="B58" i="2"/>
  <c r="A1" i="6"/>
  <c r="C35" i="2"/>
  <c r="B33" i="2"/>
  <c r="C29" i="2"/>
  <c r="B29" i="2"/>
  <c r="B64" i="2" l="1"/>
  <c r="J83" i="2"/>
  <c r="M104" i="2"/>
  <c r="W36" i="2"/>
  <c r="R36" i="2"/>
  <c r="M34" i="2"/>
  <c r="C64" i="2" l="1"/>
  <c r="F29" i="2"/>
  <c r="G29" i="2" s="1"/>
  <c r="K10" i="2"/>
  <c r="J5" i="2" l="1"/>
  <c r="J75" i="2"/>
  <c r="N75" i="2" s="1"/>
  <c r="M108" i="2"/>
  <c r="M109" i="2" s="1"/>
  <c r="M118" i="2"/>
  <c r="M99" i="2"/>
  <c r="M98" i="2"/>
  <c r="R53" i="2"/>
  <c r="R54" i="2"/>
  <c r="R55" i="2"/>
  <c r="R56" i="2"/>
  <c r="R57" i="2"/>
  <c r="R58" i="2"/>
  <c r="R59" i="2"/>
  <c r="R60" i="2"/>
  <c r="Q61" i="2"/>
  <c r="Q62" i="2"/>
  <c r="K80" i="2"/>
  <c r="K78" i="2"/>
  <c r="K77" i="2"/>
  <c r="R65" i="2"/>
  <c r="L52" i="2"/>
  <c r="P52" i="2"/>
  <c r="L53" i="2"/>
  <c r="N53" i="2"/>
  <c r="O53" i="2"/>
  <c r="P53" i="2"/>
  <c r="S53" i="2"/>
  <c r="L54" i="2"/>
  <c r="N54" i="2"/>
  <c r="O54" i="2"/>
  <c r="P54" i="2"/>
  <c r="S54" i="2"/>
  <c r="L55" i="2"/>
  <c r="P55" i="2"/>
  <c r="S55" i="2"/>
  <c r="L56" i="2"/>
  <c r="P56" i="2"/>
  <c r="S56" i="2"/>
  <c r="L57" i="2"/>
  <c r="O57" i="2"/>
  <c r="P57" i="2"/>
  <c r="L58" i="2"/>
  <c r="O58" i="2"/>
  <c r="P58" i="2"/>
  <c r="L59" i="2"/>
  <c r="N59" i="2"/>
  <c r="O59" i="2"/>
  <c r="P59" i="2"/>
  <c r="L60" i="2"/>
  <c r="N60" i="2"/>
  <c r="O60" i="2"/>
  <c r="P60" i="2"/>
  <c r="L61" i="2"/>
  <c r="N61" i="2"/>
  <c r="O61" i="2"/>
  <c r="P61" i="2"/>
  <c r="S61" i="2"/>
  <c r="L62" i="2"/>
  <c r="N62" i="2"/>
  <c r="O62" i="2"/>
  <c r="P62" i="2"/>
  <c r="S62" i="2"/>
  <c r="L63" i="2"/>
  <c r="N63" i="2"/>
  <c r="O63" i="2"/>
  <c r="P63" i="2"/>
  <c r="Q63" i="2"/>
  <c r="R63" i="2"/>
  <c r="S63" i="2"/>
  <c r="L64" i="2"/>
  <c r="N64" i="2"/>
  <c r="O64" i="2"/>
  <c r="P64" i="2"/>
  <c r="Q64" i="2"/>
  <c r="R64" i="2"/>
  <c r="S64" i="2"/>
  <c r="L65" i="2"/>
  <c r="N65" i="2"/>
  <c r="O65" i="2"/>
  <c r="P65" i="2"/>
  <c r="Q65" i="2"/>
  <c r="S65" i="2"/>
  <c r="R28" i="2"/>
  <c r="M29" i="2"/>
  <c r="M110" i="2" l="1"/>
  <c r="J76" i="2"/>
  <c r="N76" i="2" s="1"/>
  <c r="M53" i="2" l="1"/>
  <c r="M111" i="2"/>
  <c r="V5" i="2"/>
  <c r="M112" i="2" l="1"/>
  <c r="W38" i="2"/>
  <c r="W39" i="2" s="1"/>
  <c r="W40" i="2" s="1"/>
  <c r="W41" i="2" s="1"/>
  <c r="W42" i="2" s="1"/>
  <c r="W43" i="2" s="1"/>
  <c r="W44" i="2" s="1"/>
  <c r="W45" i="2" s="1"/>
  <c r="W46" i="2" s="1"/>
  <c r="W47" i="2" s="1"/>
  <c r="AA38" i="2" s="1"/>
  <c r="W48" i="2"/>
  <c r="R38" i="2"/>
  <c r="R39" i="2" s="1"/>
  <c r="R40" i="2" s="1"/>
  <c r="R41" i="2" s="1"/>
  <c r="R42" i="2" s="1"/>
  <c r="R43" i="2" s="1"/>
  <c r="R44" i="2" s="1"/>
  <c r="R45" i="2" s="1"/>
  <c r="R46" i="2" s="1"/>
  <c r="R47" i="2" s="1"/>
  <c r="V38" i="2" s="1"/>
  <c r="B84" i="2"/>
  <c r="B83" i="2"/>
  <c r="B82" i="2"/>
  <c r="M113" i="2" l="1"/>
  <c r="Z6" i="2"/>
  <c r="AD6" i="2" s="1"/>
  <c r="Z5" i="2"/>
  <c r="R5" i="2"/>
  <c r="R6" i="2"/>
  <c r="R7" i="2"/>
  <c r="R48" i="2"/>
  <c r="M48" i="2"/>
  <c r="M38" i="2"/>
  <c r="M39" i="2" s="1"/>
  <c r="M40" i="2" s="1"/>
  <c r="M41" i="2" s="1"/>
  <c r="M42" i="2" s="1"/>
  <c r="M43" i="2" s="1"/>
  <c r="H38" i="2"/>
  <c r="H39" i="2" s="1"/>
  <c r="H40" i="2" s="1"/>
  <c r="H41" i="2" s="1"/>
  <c r="H42" i="2" s="1"/>
  <c r="H43" i="2" s="1"/>
  <c r="H44" i="2" s="1"/>
  <c r="H45" i="2" s="1"/>
  <c r="H46" i="2" s="1"/>
  <c r="H47" i="2" s="1"/>
  <c r="L38" i="2" s="1"/>
  <c r="H48" i="2"/>
  <c r="M28" i="2"/>
  <c r="M114" i="2" l="1"/>
  <c r="M44" i="2"/>
  <c r="J13" i="2"/>
  <c r="N5" i="2"/>
  <c r="Q53" i="2" s="1"/>
  <c r="V6" i="2"/>
  <c r="AD5" i="2"/>
  <c r="W29" i="2"/>
  <c r="W28" i="2"/>
  <c r="V7" i="2"/>
  <c r="Z7" i="2" s="1"/>
  <c r="AD7" i="2" s="1"/>
  <c r="T14" i="2"/>
  <c r="X14" i="2" s="1"/>
  <c r="T13" i="2"/>
  <c r="X13" i="2" s="1"/>
  <c r="AB14" i="2"/>
  <c r="AF14" i="2" s="1"/>
  <c r="AB13" i="2"/>
  <c r="AF13" i="2" s="1"/>
  <c r="I34" i="2"/>
  <c r="K8" i="2"/>
  <c r="K7" i="2"/>
  <c r="M61" i="2" l="1"/>
  <c r="M115" i="2"/>
  <c r="AD8" i="2"/>
  <c r="AD9" i="2" s="1"/>
  <c r="AD10" i="2" s="1"/>
  <c r="AA11" i="2"/>
  <c r="AE11" i="2" s="1"/>
  <c r="N55" i="2"/>
  <c r="AA12" i="2"/>
  <c r="AE12" i="2" s="1"/>
  <c r="N56" i="2"/>
  <c r="AA14" i="2"/>
  <c r="AE14" i="2" s="1"/>
  <c r="N58" i="2"/>
  <c r="M45" i="2"/>
  <c r="S12" i="2"/>
  <c r="W12" i="2" s="1"/>
  <c r="S11" i="2"/>
  <c r="W11" i="2" s="1"/>
  <c r="S14" i="2"/>
  <c r="W14" i="2" s="1"/>
  <c r="J6" i="2"/>
  <c r="R8" i="2"/>
  <c r="R9" i="2" s="1"/>
  <c r="Z8" i="2"/>
  <c r="Z9" i="2" s="1"/>
  <c r="Z10" i="2" s="1"/>
  <c r="M116" i="2" l="1"/>
  <c r="N6" i="2"/>
  <c r="M54" i="2"/>
  <c r="M46" i="2"/>
  <c r="V8" i="2"/>
  <c r="Q54" i="2" l="1"/>
  <c r="M117" i="2"/>
  <c r="Q108" i="2" s="1"/>
  <c r="M47" i="2"/>
  <c r="R10" i="2"/>
  <c r="V9" i="2"/>
  <c r="V10" i="2" s="1"/>
  <c r="Q38" i="2" l="1"/>
  <c r="B9" i="2"/>
  <c r="K9" i="2" s="1"/>
  <c r="K79" i="2" l="1"/>
  <c r="N57" i="2"/>
  <c r="AA13" i="2" l="1"/>
  <c r="AE13" i="2" s="1"/>
  <c r="S13" i="2"/>
  <c r="W13" i="2" s="1"/>
  <c r="C34" i="2" l="1"/>
  <c r="B34" i="2" l="1"/>
  <c r="D14" i="2" l="1"/>
  <c r="B36" i="2" l="1"/>
  <c r="N78" i="2" s="1"/>
  <c r="B48" i="2"/>
  <c r="B51" i="2" s="1"/>
  <c r="B41" i="2"/>
  <c r="B37" i="2" s="1"/>
  <c r="D13" i="2"/>
  <c r="J10" i="2" l="1"/>
  <c r="M58" i="2" s="1"/>
  <c r="J80" i="2"/>
  <c r="J9" i="2"/>
  <c r="M57" i="2" s="1"/>
  <c r="J7" i="2"/>
  <c r="M55" i="2" s="1"/>
  <c r="J77" i="2"/>
  <c r="J79" i="2"/>
  <c r="N77" i="2"/>
  <c r="L77" i="2"/>
  <c r="Z13" i="2"/>
  <c r="V13" i="2"/>
  <c r="X15" i="2" s="1"/>
  <c r="R13" i="2"/>
  <c r="AD13" i="2"/>
  <c r="AF15" i="2" s="1"/>
  <c r="R14" i="2"/>
  <c r="V14" i="2" s="1"/>
  <c r="Z14" i="2"/>
  <c r="AD14" i="2" s="1"/>
  <c r="B20" i="2"/>
  <c r="D47" i="2"/>
  <c r="L7" i="2"/>
  <c r="O55" i="2" s="1"/>
  <c r="N8" i="2"/>
  <c r="N7" i="2"/>
  <c r="Q55" i="2" s="1"/>
  <c r="B44" i="2"/>
  <c r="B38" i="2"/>
  <c r="E13" i="2"/>
  <c r="J16" i="2" s="1"/>
  <c r="B50" i="2"/>
  <c r="B52" i="2" s="1"/>
  <c r="C48" i="2"/>
  <c r="B22" i="2" l="1"/>
  <c r="B56" i="2" s="1"/>
  <c r="B57" i="2" s="1"/>
  <c r="B59" i="2" s="1"/>
  <c r="F27" i="2" s="1"/>
  <c r="G27" i="2" s="1"/>
  <c r="D42" i="2"/>
  <c r="J78" i="2"/>
  <c r="J81" i="2" s="1"/>
  <c r="J85" i="2"/>
  <c r="N80" i="2"/>
  <c r="P80" i="2"/>
  <c r="N79" i="2"/>
  <c r="P79" i="2"/>
  <c r="J87" i="2"/>
  <c r="J86" i="2"/>
  <c r="L78" i="2"/>
  <c r="J15" i="2"/>
  <c r="M63" i="2" s="1"/>
  <c r="Q56" i="2"/>
  <c r="AD16" i="2"/>
  <c r="V16" i="2"/>
  <c r="V15" i="2"/>
  <c r="X16" i="2"/>
  <c r="AB11" i="2"/>
  <c r="T11" i="2"/>
  <c r="Z11" i="2"/>
  <c r="R11" i="2"/>
  <c r="N10" i="2"/>
  <c r="Q58" i="2" s="1"/>
  <c r="P9" i="2"/>
  <c r="N9" i="2"/>
  <c r="AD15" i="2"/>
  <c r="AF16" i="2"/>
  <c r="P10" i="2"/>
  <c r="S58" i="2" s="1"/>
  <c r="J17" i="2"/>
  <c r="M65" i="2" s="1"/>
  <c r="J8" i="2"/>
  <c r="L8" i="2"/>
  <c r="O56" i="2" s="1"/>
  <c r="D43" i="2" l="1"/>
  <c r="D49" i="2"/>
  <c r="C59" i="2"/>
  <c r="N81" i="2"/>
  <c r="N82" i="2" s="1"/>
  <c r="P81" i="2"/>
  <c r="P82" i="2" s="1"/>
  <c r="J82" i="2"/>
  <c r="J84" i="2" s="1"/>
  <c r="N99" i="2"/>
  <c r="Q57" i="2"/>
  <c r="S57" i="2"/>
  <c r="R12" i="2"/>
  <c r="V12" i="2" s="1"/>
  <c r="M56" i="2"/>
  <c r="AF17" i="2"/>
  <c r="AF18" i="2" s="1"/>
  <c r="AD17" i="2"/>
  <c r="AD18" i="2" s="1"/>
  <c r="X17" i="2"/>
  <c r="X18" i="2" s="1"/>
  <c r="V17" i="2"/>
  <c r="AD11" i="2"/>
  <c r="AF11" i="2"/>
  <c r="AB12" i="2"/>
  <c r="AF12" i="2" s="1"/>
  <c r="T12" i="2"/>
  <c r="X12" i="2" s="1"/>
  <c r="V11" i="2"/>
  <c r="X11" i="2"/>
  <c r="P11" i="2"/>
  <c r="N11" i="2"/>
  <c r="B42" i="2"/>
  <c r="J11" i="2"/>
  <c r="Z12" i="2"/>
  <c r="Z17" i="2" s="1"/>
  <c r="B43" i="2" l="1"/>
  <c r="B45" i="2" s="1"/>
  <c r="B49" i="2"/>
  <c r="B53" i="2" s="1"/>
  <c r="O84" i="2"/>
  <c r="O83" i="2"/>
  <c r="N109" i="2"/>
  <c r="N117" i="2"/>
  <c r="N115" i="2"/>
  <c r="N110" i="2"/>
  <c r="N108" i="2"/>
  <c r="O108" i="2" s="1"/>
  <c r="N111" i="2"/>
  <c r="N114" i="2"/>
  <c r="N112" i="2"/>
  <c r="N113" i="2"/>
  <c r="N116" i="2"/>
  <c r="S59" i="2"/>
  <c r="Q59" i="2"/>
  <c r="R15" i="2"/>
  <c r="R18" i="2" s="1"/>
  <c r="R20" i="2"/>
  <c r="R17" i="2"/>
  <c r="N101" i="2"/>
  <c r="N29" i="2"/>
  <c r="M64" i="2"/>
  <c r="J12" i="2"/>
  <c r="M59" i="2"/>
  <c r="AD19" i="2"/>
  <c r="AD20" i="2"/>
  <c r="V19" i="2"/>
  <c r="V18" i="2"/>
  <c r="V20" i="2" s="1"/>
  <c r="P12" i="2"/>
  <c r="S60" i="2" s="1"/>
  <c r="X29" i="2"/>
  <c r="J29" i="2"/>
  <c r="N12" i="2"/>
  <c r="Q60" i="2" s="1"/>
  <c r="Z20" i="2"/>
  <c r="AD12" i="2"/>
  <c r="Z15" i="2"/>
  <c r="O13" i="2"/>
  <c r="R61" i="2" s="1"/>
  <c r="R21" i="2" l="1"/>
  <c r="O113" i="2"/>
  <c r="O114" i="2"/>
  <c r="O111" i="2"/>
  <c r="O116" i="2"/>
  <c r="O112" i="2"/>
  <c r="O110" i="2"/>
  <c r="O117" i="2"/>
  <c r="O115" i="2"/>
  <c r="O109" i="2"/>
  <c r="Q109" i="2" s="1"/>
  <c r="M60" i="2"/>
  <c r="N100" i="2"/>
  <c r="S29" i="2"/>
  <c r="S40" i="2" s="1"/>
  <c r="N102" i="2"/>
  <c r="R19" i="2"/>
  <c r="R16" i="2"/>
  <c r="R22" i="2" s="1"/>
  <c r="N46" i="2"/>
  <c r="N38" i="2"/>
  <c r="N47" i="2"/>
  <c r="J14" i="2"/>
  <c r="M62" i="2" s="1"/>
  <c r="N45" i="2"/>
  <c r="N44" i="2"/>
  <c r="N43" i="2"/>
  <c r="C45" i="2"/>
  <c r="F19" i="2"/>
  <c r="G19" i="2" s="1"/>
  <c r="C53" i="2"/>
  <c r="F21" i="2"/>
  <c r="G21" i="2" s="1"/>
  <c r="V22" i="2"/>
  <c r="V26" i="2" s="1"/>
  <c r="O14" i="2"/>
  <c r="R62" i="2" s="1"/>
  <c r="V24" i="2"/>
  <c r="AD22" i="2"/>
  <c r="V21" i="2"/>
  <c r="V23" i="2" s="1"/>
  <c r="AD24" i="2"/>
  <c r="AD21" i="2"/>
  <c r="AD23" i="2" s="1"/>
  <c r="Z18" i="2"/>
  <c r="Z21" i="2" s="1"/>
  <c r="Z16" i="2"/>
  <c r="X38" i="2"/>
  <c r="X44" i="2"/>
  <c r="X46" i="2"/>
  <c r="X42" i="2"/>
  <c r="X45" i="2"/>
  <c r="X43" i="2"/>
  <c r="X47" i="2"/>
  <c r="X40" i="2"/>
  <c r="X41" i="2"/>
  <c r="I42" i="2"/>
  <c r="I43" i="2"/>
  <c r="I47" i="2"/>
  <c r="I44" i="2"/>
  <c r="I46" i="2"/>
  <c r="I45" i="2"/>
  <c r="I39" i="2"/>
  <c r="N42" i="2"/>
  <c r="N41" i="2"/>
  <c r="N31" i="2"/>
  <c r="N40" i="2"/>
  <c r="N39" i="2"/>
  <c r="X39" i="2"/>
  <c r="I38" i="2"/>
  <c r="I41" i="2"/>
  <c r="I40" i="2"/>
  <c r="J31" i="2"/>
  <c r="Z19" i="2"/>
  <c r="Q116" i="2" l="1"/>
  <c r="Q117" i="2"/>
  <c r="Q110" i="2"/>
  <c r="Q111" i="2"/>
  <c r="Q112" i="2"/>
  <c r="Q114" i="2"/>
  <c r="Q115" i="2"/>
  <c r="Q113" i="2"/>
  <c r="N103" i="2"/>
  <c r="N104" i="2" s="1"/>
  <c r="S46" i="2"/>
  <c r="S42" i="2"/>
  <c r="S44" i="2"/>
  <c r="S39" i="2"/>
  <c r="S45" i="2"/>
  <c r="S38" i="2"/>
  <c r="S43" i="2"/>
  <c r="S41" i="2"/>
  <c r="S47" i="2"/>
  <c r="X30" i="2"/>
  <c r="S30" i="2"/>
  <c r="O38" i="2"/>
  <c r="P38" i="2" s="1"/>
  <c r="N30" i="2"/>
  <c r="J30" i="2"/>
  <c r="P112" i="2"/>
  <c r="P117" i="2"/>
  <c r="O40" i="2"/>
  <c r="N32" i="2"/>
  <c r="J39" i="2"/>
  <c r="J40" i="2"/>
  <c r="O44" i="2"/>
  <c r="J41" i="2"/>
  <c r="O46" i="2"/>
  <c r="J46" i="2"/>
  <c r="J44" i="2"/>
  <c r="O47" i="2"/>
  <c r="O41" i="2"/>
  <c r="O43" i="2"/>
  <c r="J47" i="2"/>
  <c r="J42" i="2"/>
  <c r="J38" i="2"/>
  <c r="K38" i="2" s="1"/>
  <c r="O39" i="2"/>
  <c r="J45" i="2"/>
  <c r="O45" i="2"/>
  <c r="J32" i="2"/>
  <c r="O42" i="2"/>
  <c r="J43" i="2"/>
  <c r="V25" i="2"/>
  <c r="Z22" i="2"/>
  <c r="X31" i="2"/>
  <c r="AD26" i="2"/>
  <c r="AD25" i="2"/>
  <c r="Q39" i="2" l="1"/>
  <c r="N33" i="2"/>
  <c r="N34" i="2" s="1"/>
  <c r="J33" i="2"/>
  <c r="J34" i="2" s="1"/>
  <c r="P108" i="2"/>
  <c r="P109" i="2"/>
  <c r="P115" i="2"/>
  <c r="P116" i="2"/>
  <c r="P113" i="2"/>
  <c r="P114" i="2"/>
  <c r="P110" i="2"/>
  <c r="P111" i="2"/>
  <c r="Y46" i="2"/>
  <c r="P41" i="2"/>
  <c r="L42" i="2"/>
  <c r="Q47" i="2"/>
  <c r="P43" i="2"/>
  <c r="K41" i="2"/>
  <c r="L41" i="2"/>
  <c r="K40" i="2"/>
  <c r="L40" i="2"/>
  <c r="P47" i="2"/>
  <c r="Q41" i="2"/>
  <c r="K44" i="2"/>
  <c r="K47" i="2"/>
  <c r="L47" i="2"/>
  <c r="P44" i="2"/>
  <c r="Q44" i="2"/>
  <c r="P45" i="2"/>
  <c r="L46" i="2"/>
  <c r="P39" i="2"/>
  <c r="K42" i="2"/>
  <c r="Q40" i="2"/>
  <c r="P40" i="2"/>
  <c r="L45" i="2"/>
  <c r="Q43" i="2"/>
  <c r="Q46" i="2"/>
  <c r="L43" i="2"/>
  <c r="L44" i="2"/>
  <c r="K43" i="2"/>
  <c r="K46" i="2"/>
  <c r="K45" i="2"/>
  <c r="P42" i="2"/>
  <c r="P46" i="2"/>
  <c r="Q45" i="2"/>
  <c r="Q42" i="2"/>
  <c r="L39" i="2"/>
  <c r="K39" i="2"/>
  <c r="Y44" i="2"/>
  <c r="Y40" i="2"/>
  <c r="Y39" i="2"/>
  <c r="Y38" i="2"/>
  <c r="Y47" i="2"/>
  <c r="Y45" i="2"/>
  <c r="Y43" i="2"/>
  <c r="Y41" i="2"/>
  <c r="X32" i="2"/>
  <c r="X34" i="2" s="1"/>
  <c r="Y42" i="2"/>
  <c r="T46" i="2"/>
  <c r="T38" i="2"/>
  <c r="T45" i="2"/>
  <c r="T39" i="2"/>
  <c r="T44" i="2"/>
  <c r="T43" i="2"/>
  <c r="T42" i="2"/>
  <c r="T41" i="2"/>
  <c r="T47" i="2"/>
  <c r="S32" i="2"/>
  <c r="S34" i="2" s="1"/>
  <c r="T40" i="2"/>
  <c r="S31" i="2"/>
  <c r="S33" i="2" s="1"/>
  <c r="X33" i="2"/>
  <c r="AA40" i="2" l="1"/>
  <c r="N118" i="2"/>
  <c r="B85" i="2" s="1"/>
  <c r="C85" i="2" s="1"/>
  <c r="U39" i="2"/>
  <c r="Z38" i="2"/>
  <c r="Z39" i="2"/>
  <c r="AA39" i="2"/>
  <c r="AA46" i="2"/>
  <c r="AA47" i="2"/>
  <c r="I48" i="2"/>
  <c r="B75" i="2" s="1"/>
  <c r="Z43" i="2"/>
  <c r="N48" i="2"/>
  <c r="B76" i="2" s="1"/>
  <c r="Z41" i="2"/>
  <c r="Z45" i="2"/>
  <c r="AA44" i="2"/>
  <c r="Z47" i="2"/>
  <c r="Z44" i="2"/>
  <c r="AA45" i="2"/>
  <c r="Z46" i="2"/>
  <c r="Z40" i="2"/>
  <c r="AA41" i="2"/>
  <c r="AA43" i="2"/>
  <c r="Z42" i="2"/>
  <c r="AA42" i="2"/>
  <c r="U47" i="2"/>
  <c r="V47" i="2"/>
  <c r="U46" i="2"/>
  <c r="V46" i="2"/>
  <c r="U45" i="2"/>
  <c r="V45" i="2"/>
  <c r="U38" i="2"/>
  <c r="V42" i="2"/>
  <c r="V39" i="2"/>
  <c r="V40" i="2"/>
  <c r="V44" i="2"/>
  <c r="U44" i="2"/>
  <c r="V41" i="2"/>
  <c r="V43" i="2"/>
  <c r="U43" i="2"/>
  <c r="U41" i="2"/>
  <c r="U42" i="2"/>
  <c r="U40" i="2"/>
  <c r="S35" i="2"/>
  <c r="X35" i="2"/>
  <c r="X36" i="2" s="1"/>
  <c r="F25" i="2" l="1"/>
  <c r="G25" i="2" s="1"/>
  <c r="B80" i="2"/>
  <c r="D84" i="2" s="1"/>
  <c r="X48" i="2"/>
  <c r="B78" i="2" s="1"/>
  <c r="S48" i="2"/>
  <c r="B77" i="2" s="1"/>
  <c r="D85" i="2" l="1"/>
  <c r="C84" i="2"/>
  <c r="S36" i="2"/>
  <c r="B79" i="2" s="1"/>
  <c r="D82" i="2" s="1"/>
  <c r="C83" i="2" l="1"/>
  <c r="C82" i="2"/>
  <c r="F23" i="2" s="1"/>
  <c r="G23" i="2" s="1"/>
  <c r="D83" i="2"/>
</calcChain>
</file>

<file path=xl/sharedStrings.xml><?xml version="1.0" encoding="utf-8"?>
<sst xmlns="http://schemas.openxmlformats.org/spreadsheetml/2006/main" count="329" uniqueCount="146">
  <si>
    <t>kPa</t>
  </si>
  <si>
    <t>m</t>
  </si>
  <si>
    <t>f'c=</t>
  </si>
  <si>
    <t>mm</t>
  </si>
  <si>
    <t>qu=</t>
  </si>
  <si>
    <t>kN/m</t>
  </si>
  <si>
    <t>Mu=</t>
  </si>
  <si>
    <t>kN.m</t>
  </si>
  <si>
    <t>Diameter</t>
  </si>
  <si>
    <t>Vu=</t>
  </si>
  <si>
    <t>Spacing</t>
  </si>
  <si>
    <t>Av/s</t>
  </si>
  <si>
    <t>kN</t>
  </si>
  <si>
    <t>آرماتور منفی انتهای تیرچه</t>
  </si>
  <si>
    <t>L/240=</t>
  </si>
  <si>
    <t>MPa</t>
  </si>
  <si>
    <t>mm^2</t>
  </si>
  <si>
    <t>h (ارتفاع کل تیرچه) =</t>
  </si>
  <si>
    <t>Live ( بار زنده) =</t>
  </si>
  <si>
    <t>phi*Mn=</t>
  </si>
  <si>
    <t>As=</t>
  </si>
  <si>
    <t>d (ارتفاع موثر تیرچه) =</t>
  </si>
  <si>
    <t>phi*Vn=</t>
  </si>
  <si>
    <t>چه کسری از بار Live دائمی محسوب می شود؟</t>
  </si>
  <si>
    <t>C</t>
  </si>
  <si>
    <t>f</t>
  </si>
  <si>
    <t>r</t>
  </si>
  <si>
    <t>d'</t>
  </si>
  <si>
    <t xml:space="preserve"> Dead ( مرده بتن سقف )=</t>
  </si>
  <si>
    <t>آرماتور فوقانی لازم برای هر تیرچه</t>
  </si>
  <si>
    <t>آرماتور زیگزاگ (برشی) هر تک تیرچه</t>
  </si>
  <si>
    <t>phi*Vc=</t>
  </si>
  <si>
    <t>phi*Vs=</t>
  </si>
  <si>
    <t>delta (total)=(CASE1-CASE2)+(CASE3-CASE4)=</t>
  </si>
  <si>
    <t>delta (LIVE)=(CASE1-CASE2)=</t>
  </si>
  <si>
    <t>L/480=</t>
  </si>
  <si>
    <t>L/360=</t>
  </si>
  <si>
    <t>www.hoseinzadeh.net</t>
  </si>
  <si>
    <t>fy (میلگرد طولی تیرچه) =</t>
  </si>
  <si>
    <t>fyt (میلگرد عرضی تیرچه) =</t>
  </si>
  <si>
    <t>L (طول دهانه تیرچه) =</t>
  </si>
  <si>
    <t>S (فاصله خالص تیرچه ها مطابق شکل)=</t>
  </si>
  <si>
    <t>t ( ضحامت دال بتنی مطابق شکل) =</t>
  </si>
  <si>
    <t>Single or double? ( D: دوبل تیرچه  S: تک تیرچه)</t>
  </si>
  <si>
    <t>0.6*(A*I) جهت محاسبه اثر زلزله قائم</t>
  </si>
  <si>
    <r>
      <t>mm</t>
    </r>
    <r>
      <rPr>
        <i/>
        <sz val="10"/>
        <color theme="1"/>
        <rFont val="Tahoma"/>
        <family val="2"/>
      </rPr>
      <t>2</t>
    </r>
  </si>
  <si>
    <t>Ratio (M)</t>
  </si>
  <si>
    <t>Ratio (V)</t>
  </si>
  <si>
    <t>W (عرض تک تیرچه مطابق شکل)=</t>
  </si>
  <si>
    <r>
      <rPr>
        <sz val="14"/>
        <rFont val="Tahoma"/>
        <family val="2"/>
      </rPr>
      <t xml:space="preserve">Number </t>
    </r>
    <r>
      <rPr>
        <i/>
        <sz val="14"/>
        <rFont val="Tahoma"/>
        <family val="2"/>
      </rPr>
      <t>(</t>
    </r>
    <r>
      <rPr>
        <b/>
        <i/>
        <sz val="14"/>
        <rFont val="Tahoma"/>
        <family val="2"/>
      </rPr>
      <t>one joist</t>
    </r>
    <r>
      <rPr>
        <i/>
        <sz val="14"/>
        <rFont val="Tahoma"/>
        <family val="2"/>
      </rPr>
      <t xml:space="preserve">) </t>
    </r>
  </si>
  <si>
    <t>سایز آرماتور افت و حرارت (در کنترل خیز تاثیرگذار است)</t>
  </si>
  <si>
    <t>آرماتور طولی کلاف میانی</t>
  </si>
  <si>
    <t>چه کسری از بار SD و P قبل از اتصال قطعات غیر سازه ای وارد می شود؟</t>
  </si>
  <si>
    <t>D</t>
  </si>
  <si>
    <t>مقطع ترک نخورده قبل از گذر زمان</t>
  </si>
  <si>
    <t>Af</t>
  </si>
  <si>
    <t>(n-1)*As</t>
  </si>
  <si>
    <t>(n-1)*A's</t>
  </si>
  <si>
    <t>Ec</t>
  </si>
  <si>
    <t>n=Es/Ec</t>
  </si>
  <si>
    <t>I</t>
  </si>
  <si>
    <t>Aw,Yw,Iw</t>
  </si>
  <si>
    <t>Y (from top)</t>
  </si>
  <si>
    <t>مقطع ترک خورده قبل از گذر زمان</t>
  </si>
  <si>
    <t>B</t>
  </si>
  <si>
    <t>nAs</t>
  </si>
  <si>
    <t>Y(from top)</t>
  </si>
  <si>
    <t>I=</t>
  </si>
  <si>
    <t>Y (from Top)</t>
  </si>
  <si>
    <t>fr</t>
  </si>
  <si>
    <t>Mcr</t>
  </si>
  <si>
    <t>M-D</t>
  </si>
  <si>
    <t>M-SD</t>
  </si>
  <si>
    <t>M-L</t>
  </si>
  <si>
    <r>
      <t>z</t>
    </r>
    <r>
      <rPr>
        <sz val="18"/>
        <color theme="1"/>
        <rFont val="Times New Roman"/>
        <family val="1"/>
      </rPr>
      <t xml:space="preserve"> (short term)</t>
    </r>
    <r>
      <rPr>
        <sz val="18"/>
        <color theme="1"/>
        <rFont val="Symbol"/>
        <family val="1"/>
        <charset val="2"/>
      </rPr>
      <t>=</t>
    </r>
  </si>
  <si>
    <r>
      <t>z</t>
    </r>
    <r>
      <rPr>
        <sz val="18"/>
        <color theme="1"/>
        <rFont val="Times New Roman"/>
        <family val="1"/>
      </rPr>
      <t xml:space="preserve"> (Long term)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</si>
  <si>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>1 (t0)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Ma/EI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</si>
  <si>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>2 (t0)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Ma/EI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</si>
  <si>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 xml:space="preserve"> (t0)</t>
    </r>
    <r>
      <rPr>
        <sz val="18"/>
        <color theme="1"/>
        <rFont val="Symbol"/>
        <family val="1"/>
        <charset val="2"/>
      </rPr>
      <t>=</t>
    </r>
  </si>
  <si>
    <t>Ma-(D+SD+L) =</t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</si>
  <si>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</si>
  <si>
    <r>
      <rPr>
        <i/>
        <sz val="18"/>
        <color theme="1"/>
        <rFont val="Symbol"/>
        <family val="1"/>
        <charset val="2"/>
      </rPr>
      <t>c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aging coefficient=</t>
    </r>
  </si>
  <si>
    <t>Ec (t,t0)= Age-adjusted Ec=</t>
  </si>
  <si>
    <t>n=</t>
  </si>
  <si>
    <t>Ec=</t>
  </si>
  <si>
    <t>n*As</t>
  </si>
  <si>
    <t>مقطع ترک نخورده پس از 3 ماه</t>
  </si>
  <si>
    <t>مقطع ترک نخورده پس از زمان طولانی (5 سال)</t>
  </si>
  <si>
    <t>Yc</t>
  </si>
  <si>
    <t>Yc-Y</t>
  </si>
  <si>
    <t>Ic</t>
  </si>
  <si>
    <t>Ac</t>
  </si>
  <si>
    <t>rC^2</t>
  </si>
  <si>
    <t>Kc</t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</si>
  <si>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</si>
  <si>
    <t>مقطع ترک خورده پس از زمان طولانی (5 سال)</t>
  </si>
  <si>
    <r>
      <rPr>
        <sz val="18"/>
        <color theme="1"/>
        <rFont val="Times New Roman"/>
        <family val="1"/>
      </rPr>
      <t xml:space="preserve">delta </t>
    </r>
    <r>
      <rPr>
        <sz val="18"/>
        <color theme="1"/>
        <rFont val="Symbol"/>
        <family val="1"/>
        <charset val="2"/>
      </rPr>
      <t>y1=</t>
    </r>
  </si>
  <si>
    <r>
      <rPr>
        <sz val="18"/>
        <color theme="1"/>
        <rFont val="Times New Roman"/>
        <family val="1"/>
      </rPr>
      <t xml:space="preserve">delta </t>
    </r>
    <r>
      <rPr>
        <sz val="18"/>
        <color theme="1"/>
        <rFont val="Symbol"/>
        <family val="1"/>
        <charset val="2"/>
      </rPr>
      <t>y2=</t>
    </r>
  </si>
  <si>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Symbol"/>
        <family val="1"/>
        <charset val="2"/>
      </rPr>
      <t>y1=</t>
    </r>
  </si>
  <si>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Symbol"/>
        <family val="1"/>
        <charset val="2"/>
      </rPr>
      <t xml:space="preserve">y </t>
    </r>
    <r>
      <rPr>
        <sz val="18"/>
        <color theme="1"/>
        <rFont val="Times New Roman"/>
        <family val="1"/>
      </rPr>
      <t>(AVE)=</t>
    </r>
  </si>
  <si>
    <t>y2=</t>
  </si>
  <si>
    <t>مقطع ترک خورده پس از 3 ماه</t>
  </si>
  <si>
    <t>CASE1: D+SD+Live    (without Creep)</t>
  </si>
  <si>
    <t>Ma</t>
  </si>
  <si>
    <t>جمع مساحت آرماتور فشاری قرار داده شده در تیرچه ها(همراه با حرارتی)</t>
  </si>
  <si>
    <t>CASE 1=</t>
  </si>
  <si>
    <t>CASE 2=</t>
  </si>
  <si>
    <t>CASE 3=</t>
  </si>
  <si>
    <t>CASE 4=</t>
  </si>
  <si>
    <t>خمش</t>
  </si>
  <si>
    <t xml:space="preserve">برش </t>
  </si>
  <si>
    <t>خیز</t>
  </si>
  <si>
    <t>لرزش</t>
  </si>
  <si>
    <t>freq=</t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</si>
  <si>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(3month,t0)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</si>
  <si>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(3month,t0)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</si>
  <si>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(Long term,t0)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</si>
  <si>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(Long term,t0)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</si>
  <si>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c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aging coefficient=</t>
    </r>
    <r>
      <rPr>
        <sz val="18"/>
        <color theme="1"/>
        <rFont val="Symbol"/>
        <family val="1"/>
        <charset val="2"/>
      </rPr>
      <t xml:space="preserve">  </t>
    </r>
  </si>
  <si>
    <t>مقطع ترک نخورده قبل از گذر زمان (با مدول الاستیسیته 1.25 برابر)</t>
  </si>
  <si>
    <t>مقطع ترک خورده قبل از گذر زمان  (با مدول الاستیسیته 1.25 برابر)</t>
  </si>
  <si>
    <t>فرکانس مجاز سقف</t>
  </si>
  <si>
    <t>Partition (مرده تیغه بندی )=</t>
  </si>
  <si>
    <t>M-SD+M-P</t>
  </si>
  <si>
    <t>( هر تک تیرچه)</t>
  </si>
  <si>
    <t>f8</t>
  </si>
  <si>
    <t>f10</t>
  </si>
  <si>
    <t>f16</t>
  </si>
  <si>
    <t>آرماتور کششی پایین</t>
  </si>
  <si>
    <t>کنترل مقاومت خمشی تیرچه و طراحی میلگردهای کششی تحتانی</t>
  </si>
  <si>
    <t>کنترل مقاومت برشی تیرچه</t>
  </si>
  <si>
    <t>Point load ( بار زنده متمرکز احتمالی جهت کنترل پانچ بتن رویه )=</t>
  </si>
  <si>
    <t>Size of Point load ( ابعاد بار زنده متمرکز احتمالی جهت کنترل پانچ بتن رویه )=</t>
  </si>
  <si>
    <t>کنترل برش پانچ  بتن رویه تحت بار متمرکز</t>
  </si>
  <si>
    <t>کنترل ضخامت بتن رویه برای خمش یک طرفه (با فرض غیرمسلح بودن بتن)</t>
  </si>
  <si>
    <t>Pu</t>
  </si>
  <si>
    <t>خمش بتن رویه</t>
  </si>
  <si>
    <t>پانچ بتن رویه</t>
  </si>
  <si>
    <t>مراجع</t>
  </si>
  <si>
    <t>Ghali, A., Favre, R., &amp; Elbadry, M. (2006). Concrete structures: Stresses and deformations</t>
  </si>
  <si>
    <t>ACI Committee. (2008). ACI 209R–92 Prediction of Creep, Shrinkage, and Temperature Effects in Concrete Structures. Farmington Hills.</t>
  </si>
  <si>
    <t xml:space="preserve">   آقازاده، پ.، آقازاده، ص.، (1397)، محاسب حرفه ای (جلد اول)،  انتشارات پردیس علم، </t>
  </si>
  <si>
    <t>https://telegram.me/hoseinzadehasl</t>
  </si>
  <si>
    <t>https://www.instagram.com/masoud_hoseinzadeh_asl</t>
  </si>
  <si>
    <t xml:space="preserve">   مبحث نهم مقررات ملی ساختمان، ویرایش پنجم، 1399</t>
  </si>
  <si>
    <t>Supper Dead ( مرده کف سازی 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</si>
</sst>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0.00000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4"/>
      <name val="Tahoma"/>
      <family val="2"/>
    </font>
    <font>
      <sz val="12"/>
      <name val="Tahoma"/>
      <family val="2"/>
    </font>
    <font>
      <sz val="11"/>
      <color theme="1"/>
      <name val="Tahoma"/>
      <family val="2"/>
    </font>
    <font>
      <i/>
      <sz val="14"/>
      <name val="Tahoma"/>
      <family val="2"/>
    </font>
    <font>
      <b/>
      <i/>
      <sz val="14"/>
      <name val="Tahoma"/>
      <family val="2"/>
    </font>
    <font>
      <i/>
      <sz val="12"/>
      <name val="Tahoma"/>
      <family val="2"/>
    </font>
    <font>
      <sz val="11"/>
      <color theme="0"/>
      <name val="Tahoma"/>
      <family val="2"/>
    </font>
    <font>
      <i/>
      <sz val="10"/>
      <color theme="1"/>
      <name val="Tahoma"/>
      <family val="2"/>
    </font>
    <font>
      <b/>
      <sz val="14"/>
      <color theme="1"/>
      <name val="Tahoma"/>
      <family val="2"/>
    </font>
    <font>
      <sz val="18"/>
      <color theme="1"/>
      <name val="Symbol"/>
      <family val="1"/>
      <charset val="2"/>
    </font>
    <font>
      <sz val="18"/>
      <color theme="1"/>
      <name val="Times New Roman"/>
      <family val="1"/>
    </font>
    <font>
      <i/>
      <sz val="18"/>
      <color theme="1"/>
      <name val="Symbol"/>
      <family val="1"/>
      <charset val="2"/>
    </font>
    <font>
      <i/>
      <sz val="12"/>
      <color theme="1"/>
      <name val="Times New Roman"/>
      <family val="1"/>
    </font>
    <font>
      <i/>
      <sz val="20"/>
      <color theme="1"/>
      <name val="Symbol"/>
      <family val="1"/>
      <charset val="2"/>
    </font>
    <font>
      <sz val="15"/>
      <color theme="1"/>
      <name val="Times New Roman"/>
      <family val="1"/>
    </font>
    <font>
      <i/>
      <sz val="12"/>
      <color theme="0"/>
      <name val="Times New Roman"/>
      <family val="1"/>
    </font>
    <font>
      <sz val="11"/>
      <color rgb="FFFF0000"/>
      <name val="Tahoma"/>
      <family val="2"/>
    </font>
    <font>
      <sz val="33"/>
      <name val="B Zar"/>
      <charset val="178"/>
    </font>
    <font>
      <sz val="28"/>
      <color theme="1"/>
      <name val="Calibri"/>
      <family val="2"/>
      <scheme val="minor"/>
    </font>
    <font>
      <sz val="28"/>
      <color theme="1"/>
      <name val="Tahoma"/>
      <family val="2"/>
    </font>
    <font>
      <sz val="12"/>
      <name val="Symbol"/>
      <family val="1"/>
      <charset val="2"/>
    </font>
    <font>
      <b/>
      <sz val="14"/>
      <name val="Tahoma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10" fillId="0" borderId="7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/>
    </xf>
    <xf numFmtId="0" fontId="12" fillId="0" borderId="0" xfId="0" applyFont="1"/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5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164" fontId="15" fillId="5" borderId="0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0" fillId="0" borderId="0" xfId="0" applyNumberFormat="1"/>
    <xf numFmtId="0" fontId="2" fillId="5" borderId="14" xfId="0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Alignment="1">
      <alignment horizontal="center"/>
    </xf>
    <xf numFmtId="0" fontId="0" fillId="0" borderId="13" xfId="0" applyBorder="1"/>
    <xf numFmtId="0" fontId="0" fillId="0" borderId="19" xfId="0" applyBorder="1"/>
    <xf numFmtId="0" fontId="0" fillId="0" borderId="17" xfId="0" applyBorder="1"/>
    <xf numFmtId="0" fontId="0" fillId="0" borderId="14" xfId="0" applyBorder="1"/>
    <xf numFmtId="0" fontId="0" fillId="0" borderId="0" xfId="0" applyBorder="1"/>
    <xf numFmtId="0" fontId="0" fillId="0" borderId="18" xfId="0" applyBorder="1"/>
    <xf numFmtId="0" fontId="0" fillId="0" borderId="15" xfId="0" applyBorder="1"/>
    <xf numFmtId="0" fontId="0" fillId="0" borderId="20" xfId="0" applyBorder="1"/>
    <xf numFmtId="0" fontId="0" fillId="0" borderId="16" xfId="0" applyBorder="1"/>
    <xf numFmtId="0" fontId="0" fillId="0" borderId="0" xfId="0" applyFill="1" applyBorder="1"/>
    <xf numFmtId="0" fontId="19" fillId="0" borderId="14" xfId="0" applyFont="1" applyBorder="1" applyAlignment="1">
      <alignment horizontal="center"/>
    </xf>
    <xf numFmtId="0" fontId="2" fillId="5" borderId="15" xfId="0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7" fillId="0" borderId="0" xfId="0" applyFont="1" applyBorder="1"/>
    <xf numFmtId="0" fontId="7" fillId="0" borderId="18" xfId="0" applyFont="1" applyBorder="1"/>
    <xf numFmtId="0" fontId="20" fillId="0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5" borderId="14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2" fillId="5" borderId="20" xfId="0" applyFont="1" applyFill="1" applyBorder="1" applyAlignment="1">
      <alignment horizontal="right" vertical="center"/>
    </xf>
    <xf numFmtId="0" fontId="19" fillId="0" borderId="19" xfId="0" applyFont="1" applyBorder="1" applyAlignment="1">
      <alignment horizontal="center"/>
    </xf>
    <xf numFmtId="0" fontId="25" fillId="0" borderId="0" xfId="0" applyFont="1" applyFill="1" applyBorder="1"/>
    <xf numFmtId="164" fontId="1" fillId="3" borderId="0" xfId="0" applyNumberFormat="1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" fillId="5" borderId="14" xfId="0" applyFont="1" applyFill="1" applyBorder="1" applyAlignment="1">
      <alignment horizontal="right" vertical="center"/>
    </xf>
    <xf numFmtId="0" fontId="25" fillId="0" borderId="0" xfId="0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6" fillId="0" borderId="20" xfId="0" applyFont="1" applyBorder="1"/>
    <xf numFmtId="0" fontId="0" fillId="0" borderId="19" xfId="0" applyNumberFormat="1" applyBorder="1"/>
    <xf numFmtId="0" fontId="1" fillId="5" borderId="14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165" fontId="11" fillId="0" borderId="12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right" wrapText="1"/>
    </xf>
    <xf numFmtId="0" fontId="11" fillId="2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/>
    </xf>
    <xf numFmtId="166" fontId="11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5" fillId="5" borderId="12" xfId="0" applyFont="1" applyFill="1" applyBorder="1" applyAlignment="1">
      <alignment horizontal="right" vertical="center"/>
    </xf>
    <xf numFmtId="164" fontId="15" fillId="5" borderId="12" xfId="0" applyNumberFormat="1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right"/>
    </xf>
    <xf numFmtId="0" fontId="15" fillId="4" borderId="12" xfId="0" applyFont="1" applyFill="1" applyBorder="1" applyAlignment="1">
      <alignment vertical="center"/>
    </xf>
    <xf numFmtId="0" fontId="0" fillId="0" borderId="0" xfId="0" applyFont="1"/>
    <xf numFmtId="0" fontId="33" fillId="0" borderId="0" xfId="0" applyFont="1" applyAlignment="1">
      <alignment vertical="top"/>
    </xf>
    <xf numFmtId="0" fontId="33" fillId="0" borderId="18" xfId="0" applyFont="1" applyBorder="1" applyAlignment="1">
      <alignment vertical="top"/>
    </xf>
    <xf numFmtId="0" fontId="30" fillId="5" borderId="12" xfId="0" applyFont="1" applyFill="1" applyBorder="1" applyAlignment="1">
      <alignment horizontal="center" vertical="center"/>
    </xf>
    <xf numFmtId="0" fontId="0" fillId="0" borderId="12" xfId="0" applyBorder="1"/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164" fontId="28" fillId="0" borderId="12" xfId="0" applyNumberFormat="1" applyFont="1" applyBorder="1" applyAlignment="1">
      <alignment horizontal="center"/>
    </xf>
    <xf numFmtId="164" fontId="28" fillId="0" borderId="30" xfId="0" applyNumberFormat="1" applyFont="1" applyBorder="1" applyAlignment="1">
      <alignment horizontal="center"/>
    </xf>
    <xf numFmtId="0" fontId="29" fillId="4" borderId="28" xfId="0" applyFont="1" applyFill="1" applyBorder="1" applyAlignment="1">
      <alignment horizontal="center"/>
    </xf>
    <xf numFmtId="0" fontId="29" fillId="4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4" fillId="0" borderId="10" xfId="1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/>
    </xf>
    <xf numFmtId="164" fontId="28" fillId="0" borderId="25" xfId="0" applyNumberFormat="1" applyFont="1" applyBorder="1" applyAlignment="1">
      <alignment horizontal="center"/>
    </xf>
    <xf numFmtId="0" fontId="29" fillId="4" borderId="26" xfId="0" applyFont="1" applyFill="1" applyBorder="1" applyAlignment="1">
      <alignment horizontal="center"/>
    </xf>
    <xf numFmtId="0" fontId="33" fillId="0" borderId="12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right" vertical="top"/>
    </xf>
    <xf numFmtId="0" fontId="35" fillId="0" borderId="1" xfId="0" applyFont="1" applyBorder="1" applyAlignment="1">
      <alignment horizontal="right" vertical="top"/>
    </xf>
    <xf numFmtId="0" fontId="32" fillId="0" borderId="0" xfId="0" applyFont="1" applyAlignment="1">
      <alignment horizontal="center"/>
    </xf>
    <xf numFmtId="0" fontId="33" fillId="0" borderId="12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DC800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36176</xdr:colOff>
      <xdr:row>9</xdr:row>
      <xdr:rowOff>305713</xdr:rowOff>
    </xdr:from>
    <xdr:to>
      <xdr:col>6</xdr:col>
      <xdr:colOff>233261</xdr:colOff>
      <xdr:row>17</xdr:row>
      <xdr:rowOff>241218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7247" y="2707374"/>
          <a:ext cx="3857407" cy="2439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legram.me/hoseinzadehas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hoseinzadeh.net/" TargetMode="External"/><Relationship Id="rId1" Type="http://schemas.openxmlformats.org/officeDocument/2006/relationships/hyperlink" Target="https://www.instagram.com/masoud_hoseinzadeh_as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stagram.com/masoud_hoseinzadeh_asl" TargetMode="External"/><Relationship Id="rId4" Type="http://schemas.openxmlformats.org/officeDocument/2006/relationships/hyperlink" Target="https://telegram.me/hoseinzadeha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zoomScale="70" zoomScaleNormal="70" workbookViewId="0">
      <selection activeCell="A18" sqref="A18"/>
    </sheetView>
  </sheetViews>
  <sheetFormatPr defaultRowHeight="14.25" x14ac:dyDescent="0.45"/>
  <cols>
    <col min="1" max="1" width="86.86328125" bestFit="1" customWidth="1"/>
    <col min="2" max="2" width="16" style="14" bestFit="1" customWidth="1"/>
    <col min="3" max="3" width="20.3984375" style="13" bestFit="1" customWidth="1"/>
    <col min="4" max="4" width="12" bestFit="1" customWidth="1"/>
    <col min="5" max="5" width="27.265625" customWidth="1"/>
    <col min="6" max="6" width="24" customWidth="1"/>
    <col min="7" max="8" width="27.59765625" customWidth="1"/>
    <col min="9" max="9" width="27.6640625" customWidth="1"/>
    <col min="10" max="10" width="15.3984375" bestFit="1" customWidth="1"/>
    <col min="11" max="11" width="13.1328125" bestFit="1" customWidth="1"/>
    <col min="12" max="12" width="29.1328125" customWidth="1"/>
    <col min="13" max="13" width="25.86328125" customWidth="1"/>
    <col min="14" max="14" width="15.86328125" bestFit="1" customWidth="1"/>
    <col min="15" max="15" width="14.265625" customWidth="1"/>
    <col min="16" max="16" width="41.265625" customWidth="1"/>
    <col min="17" max="17" width="47.86328125" customWidth="1"/>
    <col min="18" max="18" width="34.59765625" customWidth="1"/>
    <col min="19" max="19" width="19.6640625" customWidth="1"/>
    <col min="20" max="20" width="34.1328125" customWidth="1"/>
    <col min="21" max="21" width="50.59765625" bestFit="1" customWidth="1"/>
    <col min="22" max="22" width="17.86328125" customWidth="1"/>
    <col min="23" max="23" width="27.6640625" bestFit="1" customWidth="1"/>
    <col min="24" max="24" width="13.3984375" bestFit="1" customWidth="1"/>
    <col min="25" max="25" width="50.59765625" bestFit="1" customWidth="1"/>
    <col min="26" max="26" width="12.265625" bestFit="1" customWidth="1"/>
    <col min="27" max="27" width="14.86328125" bestFit="1" customWidth="1"/>
    <col min="28" max="28" width="13.3984375" bestFit="1" customWidth="1"/>
    <col min="29" max="29" width="50.59765625" bestFit="1" customWidth="1"/>
    <col min="30" max="30" width="14.1328125" bestFit="1" customWidth="1"/>
    <col min="31" max="31" width="12.265625" bestFit="1" customWidth="1"/>
    <col min="32" max="32" width="13.3984375" bestFit="1" customWidth="1"/>
    <col min="33" max="33" width="50.59765625" bestFit="1" customWidth="1"/>
    <col min="34" max="34" width="14.1328125" bestFit="1" customWidth="1"/>
    <col min="35" max="35" width="12.265625" bestFit="1" customWidth="1"/>
    <col min="36" max="36" width="13.265625" customWidth="1"/>
  </cols>
  <sheetData>
    <row r="1" spans="1:32" ht="20.65" customHeight="1" x14ac:dyDescent="0.6">
      <c r="A1" s="124" t="s">
        <v>37</v>
      </c>
      <c r="B1" s="124"/>
      <c r="C1" s="124"/>
      <c r="E1" s="132" t="s">
        <v>138</v>
      </c>
      <c r="F1" s="132"/>
      <c r="G1" s="132"/>
      <c r="H1" s="132"/>
    </row>
    <row r="2" spans="1:32" ht="20.25" customHeight="1" x14ac:dyDescent="0.6">
      <c r="A2" s="124" t="s">
        <v>142</v>
      </c>
      <c r="B2" s="124"/>
      <c r="C2" s="124"/>
      <c r="E2" s="133" t="s">
        <v>139</v>
      </c>
      <c r="F2" s="133"/>
      <c r="G2" s="133"/>
      <c r="H2" s="133"/>
    </row>
    <row r="3" spans="1:32" ht="19.899999999999999" customHeight="1" thickBot="1" x14ac:dyDescent="0.5">
      <c r="A3" s="124" t="s">
        <v>143</v>
      </c>
      <c r="B3" s="124"/>
      <c r="C3" s="124"/>
      <c r="D3" s="6"/>
      <c r="E3" s="128" t="s">
        <v>140</v>
      </c>
      <c r="F3" s="128"/>
      <c r="G3" s="128"/>
      <c r="H3" s="128"/>
      <c r="L3" s="24"/>
    </row>
    <row r="4" spans="1:32" ht="24.75" customHeight="1" thickBot="1" x14ac:dyDescent="0.5">
      <c r="A4" s="75" t="s">
        <v>2</v>
      </c>
      <c r="B4" s="81">
        <v>20</v>
      </c>
      <c r="C4" s="78" t="s">
        <v>15</v>
      </c>
      <c r="D4" s="1"/>
      <c r="E4" s="128"/>
      <c r="F4" s="128"/>
      <c r="G4" s="128"/>
      <c r="H4" s="129"/>
      <c r="I4" s="123" t="s">
        <v>54</v>
      </c>
      <c r="J4" s="123"/>
      <c r="K4" s="123"/>
      <c r="L4" s="123"/>
      <c r="M4" s="121" t="s">
        <v>63</v>
      </c>
      <c r="N4" s="121"/>
      <c r="O4" s="121"/>
      <c r="P4" s="122"/>
      <c r="Q4" s="120" t="s">
        <v>86</v>
      </c>
      <c r="R4" s="121"/>
      <c r="S4" s="121"/>
      <c r="T4" s="122"/>
      <c r="U4" s="120" t="s">
        <v>101</v>
      </c>
      <c r="V4" s="121"/>
      <c r="W4" s="121"/>
      <c r="X4" s="122"/>
      <c r="Y4" s="120" t="s">
        <v>87</v>
      </c>
      <c r="Z4" s="121"/>
      <c r="AA4" s="121"/>
      <c r="AB4" s="122"/>
      <c r="AC4" s="120" t="s">
        <v>95</v>
      </c>
      <c r="AD4" s="121"/>
      <c r="AE4" s="121"/>
      <c r="AF4" s="122"/>
    </row>
    <row r="5" spans="1:32" ht="24.75" customHeight="1" x14ac:dyDescent="0.7">
      <c r="A5" s="75" t="s">
        <v>38</v>
      </c>
      <c r="B5" s="81">
        <v>400</v>
      </c>
      <c r="C5" s="78" t="s">
        <v>15</v>
      </c>
      <c r="D5" s="1"/>
      <c r="E5" s="130" t="s">
        <v>144</v>
      </c>
      <c r="F5" s="130"/>
      <c r="G5" s="130"/>
      <c r="H5" s="131"/>
      <c r="I5" s="106" t="s">
        <v>58</v>
      </c>
      <c r="J5" s="106">
        <f>4700*B4^0.5</f>
        <v>21019.038988498025</v>
      </c>
      <c r="K5" s="106"/>
      <c r="L5" s="106"/>
      <c r="M5" s="29" t="s">
        <v>58</v>
      </c>
      <c r="N5" s="29">
        <f>J5</f>
        <v>21019.038988498025</v>
      </c>
      <c r="O5" s="29"/>
      <c r="P5" s="30"/>
      <c r="Q5" s="38" t="s">
        <v>94</v>
      </c>
      <c r="R5" s="32">
        <f>B69</f>
        <v>5.62E-4</v>
      </c>
      <c r="S5" s="32"/>
      <c r="T5" s="33"/>
      <c r="U5" s="38" t="s">
        <v>94</v>
      </c>
      <c r="V5" s="32">
        <f>B69</f>
        <v>5.62E-4</v>
      </c>
      <c r="W5" s="32"/>
      <c r="X5" s="33"/>
      <c r="Y5" s="38" t="s">
        <v>94</v>
      </c>
      <c r="Z5" s="32">
        <f>B71</f>
        <v>7.7999999999999999E-4</v>
      </c>
      <c r="AB5" s="33"/>
      <c r="AC5" s="38" t="s">
        <v>94</v>
      </c>
      <c r="AD5" s="32">
        <f>Z5</f>
        <v>7.7999999999999999E-4</v>
      </c>
      <c r="AE5" s="32"/>
      <c r="AF5" s="33"/>
    </row>
    <row r="6" spans="1:32" ht="24.75" customHeight="1" x14ac:dyDescent="0.65">
      <c r="A6" s="75" t="s">
        <v>39</v>
      </c>
      <c r="B6" s="81">
        <v>300</v>
      </c>
      <c r="C6" s="78" t="s">
        <v>15</v>
      </c>
      <c r="D6" s="1"/>
      <c r="E6" s="130" t="s">
        <v>141</v>
      </c>
      <c r="F6" s="130"/>
      <c r="G6" s="130"/>
      <c r="H6" s="131"/>
      <c r="I6" s="106" t="s">
        <v>59</v>
      </c>
      <c r="J6" s="106">
        <f>200000/J5</f>
        <v>9.5151828829778271</v>
      </c>
      <c r="K6" s="106"/>
      <c r="L6" s="106"/>
      <c r="M6" s="32" t="s">
        <v>59</v>
      </c>
      <c r="N6" s="32">
        <f>J6</f>
        <v>9.5151828829778271</v>
      </c>
      <c r="O6" s="32"/>
      <c r="P6" s="33"/>
      <c r="Q6" s="38" t="s">
        <v>80</v>
      </c>
      <c r="R6" s="32">
        <f>B70</f>
        <v>1.4</v>
      </c>
      <c r="T6" s="33"/>
      <c r="U6" s="38" t="s">
        <v>80</v>
      </c>
      <c r="V6" s="32">
        <f>R6</f>
        <v>1.4</v>
      </c>
      <c r="X6" s="33"/>
      <c r="Y6" s="38" t="s">
        <v>80</v>
      </c>
      <c r="Z6" s="32">
        <f>B72</f>
        <v>2.35</v>
      </c>
      <c r="AA6" s="32"/>
      <c r="AB6" s="33"/>
      <c r="AC6" s="38" t="s">
        <v>80</v>
      </c>
      <c r="AD6" s="32">
        <f>Z6</f>
        <v>2.35</v>
      </c>
      <c r="AF6" s="33"/>
    </row>
    <row r="7" spans="1:32" ht="24.75" customHeight="1" x14ac:dyDescent="0.65">
      <c r="A7" s="75" t="s">
        <v>40</v>
      </c>
      <c r="B7" s="81">
        <v>7.5</v>
      </c>
      <c r="C7" s="78" t="s">
        <v>1</v>
      </c>
      <c r="D7" s="1"/>
      <c r="I7" s="106" t="s">
        <v>61</v>
      </c>
      <c r="J7" s="106">
        <f>D13*B8</f>
        <v>60000</v>
      </c>
      <c r="K7" s="106">
        <f>B8/2</f>
        <v>150</v>
      </c>
      <c r="L7" s="106">
        <f>D13*B8^3/12</f>
        <v>450000000</v>
      </c>
      <c r="M7" s="32" t="s">
        <v>65</v>
      </c>
      <c r="N7" s="32">
        <f>N6*B41</f>
        <v>11478.846198806972</v>
      </c>
      <c r="O7" s="32"/>
      <c r="P7" s="33"/>
      <c r="Q7" s="40" t="s">
        <v>81</v>
      </c>
      <c r="R7" s="32">
        <f>B73</f>
        <v>0.8</v>
      </c>
      <c r="S7" s="32"/>
      <c r="T7" s="33"/>
      <c r="U7" s="40" t="s">
        <v>81</v>
      </c>
      <c r="V7" s="32">
        <f>R7</f>
        <v>0.8</v>
      </c>
      <c r="W7" s="32"/>
      <c r="X7" s="33"/>
      <c r="Y7" s="40" t="s">
        <v>81</v>
      </c>
      <c r="Z7" s="32">
        <f>V7</f>
        <v>0.8</v>
      </c>
      <c r="AA7" s="32"/>
      <c r="AB7" s="33"/>
      <c r="AC7" s="40" t="s">
        <v>81</v>
      </c>
      <c r="AD7" s="32">
        <f>Z7</f>
        <v>0.8</v>
      </c>
      <c r="AE7" s="32"/>
      <c r="AF7" s="33"/>
    </row>
    <row r="8" spans="1:32" ht="24.75" customHeight="1" x14ac:dyDescent="0.65">
      <c r="A8" s="75" t="s">
        <v>17</v>
      </c>
      <c r="B8" s="81">
        <v>300</v>
      </c>
      <c r="C8" s="82" t="s">
        <v>3</v>
      </c>
      <c r="D8" s="2"/>
      <c r="F8" s="103"/>
      <c r="G8" s="103"/>
      <c r="H8" s="104"/>
      <c r="I8" s="31" t="s">
        <v>55</v>
      </c>
      <c r="J8" s="32">
        <f>(E13-D13)*B11</f>
        <v>25000</v>
      </c>
      <c r="K8" s="32">
        <f>B11/2</f>
        <v>25</v>
      </c>
      <c r="L8" s="33">
        <f>(E13-D13)*B11^3/12</f>
        <v>5208333.333333333</v>
      </c>
      <c r="M8" s="31" t="s">
        <v>57</v>
      </c>
      <c r="N8" s="32">
        <f>(N6-1)*B36</f>
        <v>3049.6409027615832</v>
      </c>
      <c r="O8" s="32"/>
      <c r="P8" s="33"/>
      <c r="Q8" s="41" t="s">
        <v>84</v>
      </c>
      <c r="R8" s="32">
        <f>J5</f>
        <v>21019.038988498025</v>
      </c>
      <c r="S8" s="32"/>
      <c r="T8" s="33"/>
      <c r="U8" s="41" t="s">
        <v>84</v>
      </c>
      <c r="V8" s="32">
        <f>R8</f>
        <v>21019.038988498025</v>
      </c>
      <c r="W8" s="32"/>
      <c r="X8" s="33"/>
      <c r="Y8" s="41" t="s">
        <v>84</v>
      </c>
      <c r="Z8" s="32">
        <f>J5</f>
        <v>21019.038988498025</v>
      </c>
      <c r="AA8" s="32"/>
      <c r="AB8" s="33"/>
      <c r="AC8" s="41" t="s">
        <v>84</v>
      </c>
      <c r="AD8" s="32">
        <f>N5</f>
        <v>21019.038988498025</v>
      </c>
      <c r="AE8" s="32"/>
      <c r="AF8" s="33"/>
    </row>
    <row r="9" spans="1:32" ht="24.75" customHeight="1" x14ac:dyDescent="0.65">
      <c r="A9" s="75" t="s">
        <v>21</v>
      </c>
      <c r="B9" s="83">
        <f>B8-B10</f>
        <v>270</v>
      </c>
      <c r="C9" s="82" t="s">
        <v>3</v>
      </c>
      <c r="D9" s="4"/>
      <c r="E9" s="103"/>
      <c r="F9" s="103"/>
      <c r="G9" s="103"/>
      <c r="H9" s="104"/>
      <c r="I9" s="31" t="s">
        <v>56</v>
      </c>
      <c r="J9" s="32">
        <f>(J6-1)*B41</f>
        <v>10272.474619828492</v>
      </c>
      <c r="K9" s="32">
        <f>B9</f>
        <v>270</v>
      </c>
      <c r="L9" s="33">
        <v>0</v>
      </c>
      <c r="M9" s="31" t="s">
        <v>64</v>
      </c>
      <c r="N9" s="32">
        <f>$E$13/N7</f>
        <v>6.0981738745898774E-2</v>
      </c>
      <c r="O9" s="32" t="s">
        <v>24</v>
      </c>
      <c r="P9" s="33">
        <f>$D$13/N7</f>
        <v>1.7423353927399649E-2</v>
      </c>
      <c r="Q9" s="41" t="s">
        <v>82</v>
      </c>
      <c r="R9" s="32">
        <f>R8/(1+R6*R7)</f>
        <v>9914.6410323103883</v>
      </c>
      <c r="S9" s="32"/>
      <c r="T9" s="33"/>
      <c r="U9" s="41" t="s">
        <v>82</v>
      </c>
      <c r="V9" s="32">
        <f>R9</f>
        <v>9914.6410323103883</v>
      </c>
      <c r="W9" s="32"/>
      <c r="X9" s="33"/>
      <c r="Y9" s="41" t="s">
        <v>82</v>
      </c>
      <c r="Z9" s="32">
        <f>Z8/(1+Z6*Z7)</f>
        <v>7298.2774265618145</v>
      </c>
      <c r="AA9" s="32"/>
      <c r="AB9" s="33"/>
      <c r="AC9" s="41" t="s">
        <v>82</v>
      </c>
      <c r="AD9" s="32">
        <f>AD8/(1+AD6*AD7)</f>
        <v>7298.2774265618145</v>
      </c>
      <c r="AE9" s="32"/>
      <c r="AF9" s="33"/>
    </row>
    <row r="10" spans="1:32" ht="24.75" customHeight="1" x14ac:dyDescent="0.65">
      <c r="A10" s="84" t="s">
        <v>27</v>
      </c>
      <c r="B10" s="83">
        <v>30</v>
      </c>
      <c r="C10" s="82" t="s">
        <v>3</v>
      </c>
      <c r="D10" s="4"/>
      <c r="E10" s="4"/>
      <c r="I10" s="31" t="s">
        <v>57</v>
      </c>
      <c r="J10" s="32">
        <f>(J6-1)*B36</f>
        <v>3049.6409027615832</v>
      </c>
      <c r="K10" s="32">
        <f>B10</f>
        <v>30</v>
      </c>
      <c r="L10" s="33">
        <v>0</v>
      </c>
      <c r="M10" s="31" t="s">
        <v>26</v>
      </c>
      <c r="N10" s="32">
        <f>N8/N7</f>
        <v>0.26567486400144824</v>
      </c>
      <c r="O10" s="32" t="s">
        <v>25</v>
      </c>
      <c r="P10" s="33">
        <f>$B$11*($E$13-$D$13)/N7</f>
        <v>2.1779192409249561</v>
      </c>
      <c r="Q10" s="41" t="s">
        <v>83</v>
      </c>
      <c r="R10" s="32">
        <f>200000/R9</f>
        <v>20.172187711912997</v>
      </c>
      <c r="S10" s="32"/>
      <c r="T10" s="33"/>
      <c r="U10" s="41" t="s">
        <v>83</v>
      </c>
      <c r="V10" s="32">
        <f>200000/V9</f>
        <v>20.172187711912997</v>
      </c>
      <c r="W10" s="32"/>
      <c r="X10" s="33"/>
      <c r="Y10" s="41" t="s">
        <v>83</v>
      </c>
      <c r="Z10" s="32">
        <f>200000/Z9</f>
        <v>27.403726702976144</v>
      </c>
      <c r="AA10" s="32"/>
      <c r="AB10" s="33"/>
      <c r="AC10" s="41" t="s">
        <v>83</v>
      </c>
      <c r="AD10" s="32">
        <f>200000/AD9</f>
        <v>27.403726702976144</v>
      </c>
      <c r="AE10" s="32"/>
      <c r="AF10" s="33"/>
    </row>
    <row r="11" spans="1:32" ht="24.75" customHeight="1" x14ac:dyDescent="0.45">
      <c r="A11" s="75" t="s">
        <v>42</v>
      </c>
      <c r="B11" s="81">
        <v>50</v>
      </c>
      <c r="C11" s="82" t="s">
        <v>3</v>
      </c>
      <c r="D11" s="1"/>
      <c r="E11" s="4"/>
      <c r="I11" s="31" t="s">
        <v>62</v>
      </c>
      <c r="J11" s="32">
        <f>(J7*K7+J8*K8+J9*K9+J10*K10)/SUM(J7:J10)</f>
        <v>127.0320243624831</v>
      </c>
      <c r="K11" s="32"/>
      <c r="L11" s="33"/>
      <c r="M11" s="31" t="s">
        <v>62</v>
      </c>
      <c r="N11" s="32">
        <f>((2*$B$9*N9*(1+N10*$B$10/$B$9)+(1+N10)^2)^0.5-(1+N10))/N9</f>
        <v>76.955186661691798</v>
      </c>
      <c r="O11" s="32" t="s">
        <v>66</v>
      </c>
      <c r="P11" s="33">
        <f>((P9*(2*$B$9+$B$11*P10+2*N10*$B$10)+(P10+N10+1)^2)^0.5-(P10+N10+1))/P9</f>
        <v>80.242989300798627</v>
      </c>
      <c r="Q11" s="31" t="s">
        <v>61</v>
      </c>
      <c r="R11" s="32">
        <f t="shared" ref="R11:T12" si="0">J7</f>
        <v>60000</v>
      </c>
      <c r="S11" s="32">
        <f t="shared" si="0"/>
        <v>150</v>
      </c>
      <c r="T11" s="33">
        <f t="shared" si="0"/>
        <v>450000000</v>
      </c>
      <c r="U11" s="31" t="s">
        <v>61</v>
      </c>
      <c r="V11" s="32">
        <f t="shared" ref="V11:X12" si="1">R11</f>
        <v>60000</v>
      </c>
      <c r="W11" s="32">
        <f t="shared" si="1"/>
        <v>150</v>
      </c>
      <c r="X11" s="33">
        <f t="shared" si="1"/>
        <v>450000000</v>
      </c>
      <c r="Y11" s="31" t="s">
        <v>61</v>
      </c>
      <c r="Z11" s="32">
        <f t="shared" ref="Z11:AB12" si="2">J7</f>
        <v>60000</v>
      </c>
      <c r="AA11" s="32">
        <f t="shared" si="2"/>
        <v>150</v>
      </c>
      <c r="AB11" s="33">
        <f t="shared" si="2"/>
        <v>450000000</v>
      </c>
      <c r="AC11" s="31" t="s">
        <v>61</v>
      </c>
      <c r="AD11" s="32">
        <f t="shared" ref="AD11:AF12" si="3">Z11</f>
        <v>60000</v>
      </c>
      <c r="AE11" s="32">
        <f t="shared" si="3"/>
        <v>150</v>
      </c>
      <c r="AF11" s="33">
        <f t="shared" si="3"/>
        <v>450000000</v>
      </c>
    </row>
    <row r="12" spans="1:32" ht="24.75" customHeight="1" thickBot="1" x14ac:dyDescent="0.5">
      <c r="A12" s="75" t="s">
        <v>41</v>
      </c>
      <c r="B12" s="81">
        <v>500</v>
      </c>
      <c r="C12" s="78" t="s">
        <v>3</v>
      </c>
      <c r="D12" s="26"/>
      <c r="E12" s="26"/>
      <c r="F12" s="26"/>
      <c r="I12" s="34" t="s">
        <v>60</v>
      </c>
      <c r="J12" s="35">
        <f>L7+J7*(J11-K7)^2+L8+J8*(J11-K8)^2+J9*(J11-K9)^2+J10*(J11-K10)^2</f>
        <v>985804137.25308156</v>
      </c>
      <c r="K12" s="35"/>
      <c r="L12" s="36"/>
      <c r="M12" s="31" t="s">
        <v>60</v>
      </c>
      <c r="N12" s="32">
        <f>$E$13*N11^3/3+N7*($B$9-N11)^2+N8*(N11-$B$10)^2</f>
        <v>540836428.10172319</v>
      </c>
      <c r="O12" s="37" t="s">
        <v>60</v>
      </c>
      <c r="P12" s="33">
        <f>($E$13-$D$13)*$B$11^3/12+$D$13*P11^3/3+($E$13-$D$13)*$B$11*(P11-$B$11/2)^2+N7*($B$9-P11)^2+N8*(P11-$B$10)^2</f>
        <v>536973836.17466378</v>
      </c>
      <c r="Q12" s="31" t="s">
        <v>55</v>
      </c>
      <c r="R12" s="32">
        <f t="shared" si="0"/>
        <v>25000</v>
      </c>
      <c r="S12" s="32">
        <f t="shared" si="0"/>
        <v>25</v>
      </c>
      <c r="T12" s="33">
        <f t="shared" si="0"/>
        <v>5208333.333333333</v>
      </c>
      <c r="U12" s="31" t="s">
        <v>55</v>
      </c>
      <c r="V12" s="32">
        <f t="shared" si="1"/>
        <v>25000</v>
      </c>
      <c r="W12" s="32">
        <f t="shared" si="1"/>
        <v>25</v>
      </c>
      <c r="X12" s="33">
        <f t="shared" si="1"/>
        <v>5208333.333333333</v>
      </c>
      <c r="Y12" s="31" t="s">
        <v>55</v>
      </c>
      <c r="Z12" s="32">
        <f t="shared" si="2"/>
        <v>25000</v>
      </c>
      <c r="AA12" s="32">
        <f t="shared" si="2"/>
        <v>25</v>
      </c>
      <c r="AB12" s="33">
        <f t="shared" si="2"/>
        <v>5208333.333333333</v>
      </c>
      <c r="AC12" s="31" t="s">
        <v>55</v>
      </c>
      <c r="AD12" s="32">
        <f t="shared" si="3"/>
        <v>25000</v>
      </c>
      <c r="AE12" s="32">
        <f t="shared" si="3"/>
        <v>25</v>
      </c>
      <c r="AF12" s="33">
        <f t="shared" si="3"/>
        <v>5208333.333333333</v>
      </c>
    </row>
    <row r="13" spans="1:32" ht="24.75" customHeight="1" x14ac:dyDescent="0.65">
      <c r="A13" s="75" t="s">
        <v>48</v>
      </c>
      <c r="B13" s="81">
        <v>100</v>
      </c>
      <c r="C13" s="78" t="s">
        <v>3</v>
      </c>
      <c r="D13" s="59">
        <f>D14*B13</f>
        <v>200</v>
      </c>
      <c r="E13" s="59">
        <f>B12+D13</f>
        <v>700</v>
      </c>
      <c r="F13" s="26"/>
      <c r="I13" s="31" t="s">
        <v>69</v>
      </c>
      <c r="J13" s="32">
        <f>0.62*B4^0.5</f>
        <v>2.7727242920997393</v>
      </c>
      <c r="K13" s="32"/>
      <c r="L13" s="33"/>
      <c r="M13" s="31"/>
      <c r="N13" s="32" t="s">
        <v>68</v>
      </c>
      <c r="O13" s="32">
        <f>IF(N11&lt;B11,N11,P11)</f>
        <v>80.242989300798627</v>
      </c>
      <c r="P13" s="33"/>
      <c r="Q13" s="42" t="s">
        <v>56</v>
      </c>
      <c r="R13" s="32">
        <f>(R10-1)*B41</f>
        <v>23128.782362492304</v>
      </c>
      <c r="S13" s="32">
        <f>K9</f>
        <v>270</v>
      </c>
      <c r="T13" s="33">
        <f>L9</f>
        <v>0</v>
      </c>
      <c r="U13" s="42" t="s">
        <v>85</v>
      </c>
      <c r="V13" s="32">
        <f>V10*B41</f>
        <v>24335.153941470784</v>
      </c>
      <c r="W13" s="32">
        <f>S13</f>
        <v>270</v>
      </c>
      <c r="X13" s="33">
        <f>T13</f>
        <v>0</v>
      </c>
      <c r="Y13" s="42" t="s">
        <v>56</v>
      </c>
      <c r="Z13" s="32">
        <f>(Z10-1)*B41</f>
        <v>31852.7054735856</v>
      </c>
      <c r="AA13" s="32">
        <f>K9</f>
        <v>270</v>
      </c>
      <c r="AB13" s="33">
        <f>L9</f>
        <v>0</v>
      </c>
      <c r="AC13" s="42" t="s">
        <v>85</v>
      </c>
      <c r="AD13" s="32">
        <f>AD10*B41</f>
        <v>33059.077052564084</v>
      </c>
      <c r="AE13" s="32">
        <f>AA13</f>
        <v>270</v>
      </c>
      <c r="AF13" s="33">
        <f>AB13</f>
        <v>0</v>
      </c>
    </row>
    <row r="14" spans="1:32" ht="24.75" customHeight="1" thickBot="1" x14ac:dyDescent="0.7">
      <c r="A14" s="84" t="s">
        <v>43</v>
      </c>
      <c r="B14" s="81" t="s">
        <v>53</v>
      </c>
      <c r="C14" s="76"/>
      <c r="D14" s="59">
        <f>IF(B14="s",1,2)</f>
        <v>2</v>
      </c>
      <c r="E14" s="26"/>
      <c r="F14" s="26"/>
      <c r="I14" s="34" t="s">
        <v>70</v>
      </c>
      <c r="J14" s="35">
        <f>J13*J12/(B8-J11)/10^6</f>
        <v>15.802711851945707</v>
      </c>
      <c r="K14" s="35" t="s">
        <v>7</v>
      </c>
      <c r="L14" s="36"/>
      <c r="M14" s="34"/>
      <c r="N14" s="35" t="s">
        <v>67</v>
      </c>
      <c r="O14" s="35">
        <f>IF(N11&lt;B11,N12,P12)</f>
        <v>536973836.17466378</v>
      </c>
      <c r="P14" s="36"/>
      <c r="Q14" s="42" t="s">
        <v>57</v>
      </c>
      <c r="R14" s="32">
        <f>(R10-1)*B36</f>
        <v>6866.357263864903</v>
      </c>
      <c r="S14" s="32">
        <f>K10</f>
        <v>30</v>
      </c>
      <c r="T14" s="33">
        <f>L10</f>
        <v>0</v>
      </c>
      <c r="U14" s="42" t="s">
        <v>57</v>
      </c>
      <c r="V14" s="32">
        <f>R14</f>
        <v>6866.357263864903</v>
      </c>
      <c r="W14" s="32">
        <f>S14</f>
        <v>30</v>
      </c>
      <c r="X14" s="33">
        <f>T14</f>
        <v>0</v>
      </c>
      <c r="Y14" s="42" t="s">
        <v>57</v>
      </c>
      <c r="Z14" s="32">
        <f>(Z10-1)*B36</f>
        <v>9456.2719374707249</v>
      </c>
      <c r="AA14" s="32">
        <f>K10</f>
        <v>30</v>
      </c>
      <c r="AB14" s="33">
        <f>L10</f>
        <v>0</v>
      </c>
      <c r="AC14" s="42" t="s">
        <v>57</v>
      </c>
      <c r="AD14" s="32">
        <f>Z14</f>
        <v>9456.2719374707249</v>
      </c>
      <c r="AE14" s="32">
        <f>AA14</f>
        <v>30</v>
      </c>
      <c r="AF14" s="33">
        <f>AB14</f>
        <v>0</v>
      </c>
    </row>
    <row r="15" spans="1:32" ht="24.75" customHeight="1" x14ac:dyDescent="0.65">
      <c r="A15" s="75" t="s">
        <v>18</v>
      </c>
      <c r="B15" s="81">
        <v>2.5</v>
      </c>
      <c r="C15" s="78" t="s">
        <v>0</v>
      </c>
      <c r="D15" s="26"/>
      <c r="E15" s="26"/>
      <c r="F15" s="26"/>
      <c r="I15" s="54" t="s">
        <v>71</v>
      </c>
      <c r="J15" s="67">
        <f>E13/1000*B20*B$7^2/8</f>
        <v>14.94140625</v>
      </c>
      <c r="K15" s="29" t="s">
        <v>7</v>
      </c>
      <c r="L15" s="30"/>
      <c r="Q15" s="42" t="s">
        <v>62</v>
      </c>
      <c r="R15" s="64">
        <f>(R11*S11+R12*S12+R13*S13+R14*S14)/SUM(R11:R14)</f>
        <v>139.79514271666017</v>
      </c>
      <c r="S15" s="32"/>
      <c r="T15" s="33"/>
      <c r="U15" s="31" t="s">
        <v>64</v>
      </c>
      <c r="V15" s="32">
        <f>$E$13/V13</f>
        <v>2.8764971106556021E-2</v>
      </c>
      <c r="W15" s="32" t="s">
        <v>24</v>
      </c>
      <c r="X15" s="33">
        <f>$D$13/V13</f>
        <v>8.2185631733017201E-3</v>
      </c>
      <c r="Y15" s="42" t="s">
        <v>62</v>
      </c>
      <c r="Z15" s="32">
        <f>(Z11*AA11+Z12*AA12+Z13*AA13+Z14*AA14)/SUM(Z11:Z14)</f>
        <v>146.53684176190689</v>
      </c>
      <c r="AA15" s="32"/>
      <c r="AB15" s="33"/>
      <c r="AC15" s="31" t="s">
        <v>64</v>
      </c>
      <c r="AD15" s="32">
        <f>$E$13/AD13</f>
        <v>2.1174214842325959E-2</v>
      </c>
      <c r="AE15" s="32" t="s">
        <v>24</v>
      </c>
      <c r="AF15" s="33">
        <f>$D$13/AD13</f>
        <v>6.049775669235989E-3</v>
      </c>
    </row>
    <row r="16" spans="1:32" ht="24.75" customHeight="1" x14ac:dyDescent="0.65">
      <c r="A16" s="85" t="s">
        <v>122</v>
      </c>
      <c r="B16" s="81">
        <v>1</v>
      </c>
      <c r="C16" s="76" t="s">
        <v>0</v>
      </c>
      <c r="D16" s="26"/>
      <c r="E16" s="26"/>
      <c r="F16" s="26"/>
      <c r="I16" s="55" t="s">
        <v>123</v>
      </c>
      <c r="J16" s="32">
        <f>E13/1000*(B16+B17)*B7^2/8</f>
        <v>19.6875</v>
      </c>
      <c r="K16" s="32"/>
      <c r="L16" s="33"/>
      <c r="Q16" s="42" t="s">
        <v>60</v>
      </c>
      <c r="R16" s="64">
        <f>T11+R11*(R15-S11)^2+T12+R12*(R15-S12)^2+R13*(R15-S13)^2+R14*(R15-S14)^2</f>
        <v>1265787852.2079396</v>
      </c>
      <c r="S16" s="32"/>
      <c r="T16" s="33"/>
      <c r="U16" s="31" t="s">
        <v>26</v>
      </c>
      <c r="V16" s="32">
        <f>V14/V13</f>
        <v>0.28215795471766431</v>
      </c>
      <c r="W16" s="32" t="s">
        <v>25</v>
      </c>
      <c r="X16" s="33">
        <f>$B$11*($E$13-$D$13)/V13</f>
        <v>1.0273203966627151</v>
      </c>
      <c r="Y16" s="42" t="s">
        <v>60</v>
      </c>
      <c r="Z16" s="64">
        <f>AB11+Z11*(Z15-AA11)^2+AB12+Z12*(Z15-AA12)^2+Z13*(Z15-AA13)^2+Z14*(Z15-AA14)^2</f>
        <v>1439167725.7550433</v>
      </c>
      <c r="AA16" s="32"/>
      <c r="AB16" s="33"/>
      <c r="AC16" s="31" t="s">
        <v>26</v>
      </c>
      <c r="AD16" s="32">
        <f>AD14/AD13</f>
        <v>0.28604161944494727</v>
      </c>
      <c r="AE16" s="32" t="s">
        <v>25</v>
      </c>
      <c r="AF16" s="33">
        <f>$B$11*($E$13-$D$13)/AD13</f>
        <v>0.75622195865449859</v>
      </c>
    </row>
    <row r="17" spans="1:32" ht="24.75" customHeight="1" thickBot="1" x14ac:dyDescent="0.7">
      <c r="A17" s="85" t="s">
        <v>145</v>
      </c>
      <c r="B17" s="81">
        <v>3</v>
      </c>
      <c r="C17" s="78" t="s">
        <v>0</v>
      </c>
      <c r="I17" s="56" t="s">
        <v>73</v>
      </c>
      <c r="J17" s="35">
        <f>E13/1000*B15*B7^2/8</f>
        <v>12.3046875</v>
      </c>
      <c r="K17" s="35"/>
      <c r="L17" s="36"/>
      <c r="Q17" s="42" t="s">
        <v>88</v>
      </c>
      <c r="R17" s="64">
        <f>(R11*S11+R12*S12-B41*S13-B36*S14)/(R11+R12-B41-B36)</f>
        <v>111.32595705412241</v>
      </c>
      <c r="S17" s="43"/>
      <c r="T17" s="44"/>
      <c r="U17" s="31" t="s">
        <v>62</v>
      </c>
      <c r="V17" s="32">
        <f>((2*$B$9*V15*(1+V16*$B$10/$B$9)+(1+V16)^2)^0.5-(1+V16))/V15</f>
        <v>101.536585535528</v>
      </c>
      <c r="W17" s="32" t="s">
        <v>66</v>
      </c>
      <c r="X17" s="33">
        <f>((X15*(2*$B$9+$B$11*X16+2*V16*$B$10)+(X16+V16+1)^2)^0.5-(X16+V16+1))/X15</f>
        <v>110.11911062393159</v>
      </c>
      <c r="Y17" s="42" t="s">
        <v>88</v>
      </c>
      <c r="Z17" s="64">
        <f>(Z11*AA11+Z12*AA12-B41*AA13-B36*AA14)/(Z11+Z12-B41-B36)</f>
        <v>111.32595705412241</v>
      </c>
      <c r="AA17" s="43"/>
      <c r="AB17" s="44"/>
      <c r="AC17" s="31" t="s">
        <v>62</v>
      </c>
      <c r="AD17" s="32">
        <f>((2*$B$9*AD15*(1+AD16*$B$10/$B$9)+(1+AD16)^2)^0.5-(1+AD16))/AD15</f>
        <v>112.47505044140098</v>
      </c>
      <c r="AE17" s="32" t="s">
        <v>66</v>
      </c>
      <c r="AF17" s="33">
        <f>((AF15*(2*$B$9+$B$11*AF16+2*AD16*$B$10)+(AF16+AD16+1)^2)^0.5-(AF16+AD16+1))/AF15</f>
        <v>123.18832355471935</v>
      </c>
    </row>
    <row r="18" spans="1:32" ht="24.75" customHeight="1" thickBot="1" x14ac:dyDescent="0.7">
      <c r="A18" s="85" t="s">
        <v>131</v>
      </c>
      <c r="B18" s="81">
        <v>1.3</v>
      </c>
      <c r="C18" s="78" t="s">
        <v>12</v>
      </c>
      <c r="Q18" s="42" t="s">
        <v>90</v>
      </c>
      <c r="R18" s="64">
        <f>T11+R11*(R15-S11)^2+T12+R12*(R15-S12)^2-B41*(S13-R15)^2-B36*(S14-R15)^2</f>
        <v>766135427.6974684</v>
      </c>
      <c r="S18" s="32"/>
      <c r="T18" s="33"/>
      <c r="U18" s="31" t="s">
        <v>60</v>
      </c>
      <c r="V18" s="64">
        <f>$E$13*V17^3/3+V13*($B$9-V17)^2+V14*(V17-$B$10)^2</f>
        <v>970023793.36360621</v>
      </c>
      <c r="W18" s="37" t="s">
        <v>60</v>
      </c>
      <c r="X18" s="33">
        <f>($E$13-$D$13)*$B$11^3/12+$D$13*X17^3/3+($E$13-$D$13)*$B$11*(X17-$B$11/2)^2+V13*($B$9-X17)^2+V14*(X17-$B$10)^2</f>
        <v>941490184.36025381</v>
      </c>
      <c r="Y18" s="42" t="s">
        <v>90</v>
      </c>
      <c r="Z18" s="64">
        <f>AB11+Z11*(Z15-AA11)^2+AB12+Z12*(Z15-AA12)^2-B41*(AA13-Z15)^2-B36*(AA14-Z15)^2</f>
        <v>801955272.55308795</v>
      </c>
      <c r="AA18" s="32"/>
      <c r="AB18" s="33"/>
      <c r="AC18" s="31" t="s">
        <v>60</v>
      </c>
      <c r="AD18" s="32">
        <f>$E$13*AD17^3/3+AD13*($B$9-AD17)^2+AD14*(AD17-$B$10)^2</f>
        <v>1216659968.0315135</v>
      </c>
      <c r="AE18" s="37" t="s">
        <v>60</v>
      </c>
      <c r="AF18" s="33">
        <f>($E$13-$D$13)*$B$11^3/12+$D$13*AF17^3/3+($E$13-$D$13)*$B$11*(AF17-$B$11/2)^2+AD13*($B$9-AF17)^2+AD14*(AF17-$B$10)^2</f>
        <v>1165523757.5178607</v>
      </c>
    </row>
    <row r="19" spans="1:32" ht="24.75" customHeight="1" x14ac:dyDescent="0.65">
      <c r="A19" s="85" t="s">
        <v>132</v>
      </c>
      <c r="B19" s="81">
        <v>120</v>
      </c>
      <c r="C19" s="78" t="s">
        <v>3</v>
      </c>
      <c r="E19" s="125" t="s">
        <v>109</v>
      </c>
      <c r="F19" s="126">
        <f>B45</f>
        <v>0.56468381550924995</v>
      </c>
      <c r="G19" s="127" t="str">
        <f>IF(F19&lt;1, "OK","N.G.")</f>
        <v>OK</v>
      </c>
      <c r="Q19" s="42" t="s">
        <v>89</v>
      </c>
      <c r="R19" s="64">
        <f>R17-R15</f>
        <v>-28.469185662537754</v>
      </c>
      <c r="S19" s="43"/>
      <c r="T19" s="44"/>
      <c r="U19" s="42" t="s">
        <v>62</v>
      </c>
      <c r="V19" s="64">
        <f>IF(V17&lt;$B$11,V17,X17)</f>
        <v>110.11911062393159</v>
      </c>
      <c r="W19" s="32"/>
      <c r="X19" s="33"/>
      <c r="Y19" s="42" t="s">
        <v>89</v>
      </c>
      <c r="Z19" s="64">
        <f>Z17-Z15</f>
        <v>-35.210884707784473</v>
      </c>
      <c r="AA19" s="43"/>
      <c r="AB19" s="44"/>
      <c r="AC19" s="42" t="s">
        <v>62</v>
      </c>
      <c r="AD19" s="32">
        <f>IF(AD17&lt;$B$11,AD17,AF17)</f>
        <v>123.18832355471935</v>
      </c>
      <c r="AE19" s="32"/>
      <c r="AF19" s="33"/>
    </row>
    <row r="20" spans="1:32" ht="24.75" customHeight="1" x14ac:dyDescent="0.65">
      <c r="A20" s="85" t="s">
        <v>28</v>
      </c>
      <c r="B20" s="86">
        <f>((1000/(D13+B12))*(B8*D13+B11*B12)/10^6*25)</f>
        <v>3.035714285714286</v>
      </c>
      <c r="C20" s="78" t="s">
        <v>0</v>
      </c>
      <c r="E20" s="111"/>
      <c r="F20" s="113"/>
      <c r="G20" s="115"/>
      <c r="Q20" s="42" t="s">
        <v>91</v>
      </c>
      <c r="R20" s="65">
        <f>R11+R12-B41-B36</f>
        <v>83435.486858512289</v>
      </c>
      <c r="S20" s="43"/>
      <c r="T20" s="44"/>
      <c r="U20" s="42" t="s">
        <v>60</v>
      </c>
      <c r="V20" s="64">
        <f>IF(V17&lt;$B$11,V18,X18)</f>
        <v>941490184.36025381</v>
      </c>
      <c r="W20" s="32"/>
      <c r="X20" s="33"/>
      <c r="Y20" s="42" t="s">
        <v>91</v>
      </c>
      <c r="Z20" s="65">
        <f>Z11+Z12-B41-B36</f>
        <v>83435.486858512289</v>
      </c>
      <c r="AA20" s="43"/>
      <c r="AB20" s="44"/>
      <c r="AC20" s="42" t="s">
        <v>60</v>
      </c>
      <c r="AD20" s="64">
        <f>IF(AD17&lt;$B$11,AD18,AF18)</f>
        <v>1165523757.5178607</v>
      </c>
      <c r="AE20" s="32"/>
      <c r="AF20" s="33"/>
    </row>
    <row r="21" spans="1:32" ht="24.75" customHeight="1" x14ac:dyDescent="0.65">
      <c r="A21" s="75" t="s">
        <v>44</v>
      </c>
      <c r="B21" s="81">
        <v>0.21</v>
      </c>
      <c r="C21" s="78"/>
      <c r="E21" s="111" t="s">
        <v>110</v>
      </c>
      <c r="F21" s="113">
        <f>B53</f>
        <v>0.26484399092997774</v>
      </c>
      <c r="G21" s="115" t="str">
        <f t="shared" ref="G21" si="4">IF(F21&lt;1, "OK","N.G.")</f>
        <v>OK</v>
      </c>
      <c r="Q21" s="42" t="s">
        <v>92</v>
      </c>
      <c r="R21" s="64">
        <f>R18/R20</f>
        <v>9182.3689960203719</v>
      </c>
      <c r="S21" s="43"/>
      <c r="T21" s="44"/>
      <c r="U21" s="42" t="s">
        <v>88</v>
      </c>
      <c r="V21" s="64">
        <f>IF(O13&lt;$B$11,(O13*E13*O13/2-B36*B10)/(O13*E13-B36),(O13*D13*O13/2+(E13-D13)*B11^2/2-B36*B10)/(O13*D13+(E13-D13)*B11-B36))</f>
        <v>30.92001419483168</v>
      </c>
      <c r="W21" s="43"/>
      <c r="X21" s="44"/>
      <c r="Y21" s="42" t="s">
        <v>92</v>
      </c>
      <c r="Z21" s="64">
        <f>Z18/Z20</f>
        <v>9611.6808656372159</v>
      </c>
      <c r="AA21" s="43"/>
      <c r="AB21" s="44"/>
      <c r="AC21" s="42" t="s">
        <v>88</v>
      </c>
      <c r="AD21" s="64">
        <f>IF(O13&lt;$B$11,(O13*E13*O13/2-B36*B10)/(O13*E13-B36),(O13*D13*O13/2+(E13-D13)*B11^2/2-B36*B10)/(O13*D13+(E13-D13)*B11-B36))</f>
        <v>30.92001419483168</v>
      </c>
      <c r="AE21" s="43"/>
      <c r="AF21" s="44"/>
    </row>
    <row r="22" spans="1:32" ht="24.75" customHeight="1" thickBot="1" x14ac:dyDescent="0.7">
      <c r="A22" s="75" t="s">
        <v>4</v>
      </c>
      <c r="B22" s="77">
        <f>MAX(1.4*(B16+B17+B20),1.2*(B16+B17+B20)+1.6*(B15),1.2*(B16+B17+B20)+(B15)+B21*(B16+B17+B20))</f>
        <v>12.442857142857143</v>
      </c>
      <c r="C22" s="78" t="s">
        <v>0</v>
      </c>
      <c r="E22" s="111"/>
      <c r="F22" s="113"/>
      <c r="G22" s="115"/>
      <c r="Q22" s="45" t="s">
        <v>93</v>
      </c>
      <c r="R22" s="66">
        <f>R18/R16</f>
        <v>0.60526369119523682</v>
      </c>
      <c r="S22" s="35"/>
      <c r="T22" s="36"/>
      <c r="U22" s="42" t="s">
        <v>90</v>
      </c>
      <c r="V22" s="64">
        <f>IF(O13&lt;$B$11,(E13*O13^3/12+E13*O13*(V19-O13/2)^2)-B36*(V19-B10)^2,D13*O13^3/12+D13*O13*(V19-O13/2)^2+(E13-D13)*B11^3/12+(E13-D13)*B11*(V19-B11/2)^2-B36*(V19-B10)^2)</f>
        <v>271285071.22344434</v>
      </c>
      <c r="W22" s="32"/>
      <c r="X22" s="33"/>
      <c r="Y22" s="45" t="s">
        <v>93</v>
      </c>
      <c r="Z22" s="35">
        <f>Z18/Z16</f>
        <v>0.55723544810063819</v>
      </c>
      <c r="AA22" s="35"/>
      <c r="AB22" s="36"/>
      <c r="AC22" s="42" t="s">
        <v>90</v>
      </c>
      <c r="AD22" s="64">
        <f>IF(O13&lt;$B$11,(E13*O13^3/12+E13*O13*(AD19-O13/2)^2)-B36*(AD19-B10)^2,D13*O13^3/12+D13*O13*(AD19-O13/2)^2+(E13-D13)*B11^3/12+(E13-D13)*B11*(AD19-B11/2)^2-B36*(AD19-B10)^2)</f>
        <v>362470106.62427878</v>
      </c>
      <c r="AE22" s="32"/>
      <c r="AF22" s="33"/>
    </row>
    <row r="23" spans="1:32" ht="24.75" customHeight="1" x14ac:dyDescent="0.65">
      <c r="A23" s="75" t="s">
        <v>52</v>
      </c>
      <c r="B23" s="81">
        <v>0.7</v>
      </c>
      <c r="C23" s="76"/>
      <c r="E23" s="111" t="s">
        <v>111</v>
      </c>
      <c r="F23" s="113">
        <f>C82</f>
        <v>0.60658609446976341</v>
      </c>
      <c r="G23" s="115" t="str">
        <f>IF(F23&lt;1, "OK","N.G.")</f>
        <v>OK</v>
      </c>
      <c r="U23" s="42" t="s">
        <v>89</v>
      </c>
      <c r="V23" s="64">
        <f>V21-V19</f>
        <v>-79.19909642909991</v>
      </c>
      <c r="W23" s="43"/>
      <c r="X23" s="44"/>
      <c r="AC23" s="42" t="s">
        <v>89</v>
      </c>
      <c r="AD23" s="64">
        <f>AD21-AD19</f>
        <v>-92.268309359887667</v>
      </c>
      <c r="AE23" s="43"/>
      <c r="AF23" s="44"/>
    </row>
    <row r="24" spans="1:32" ht="24.75" customHeight="1" thickBot="1" x14ac:dyDescent="0.7">
      <c r="A24" s="75" t="s">
        <v>23</v>
      </c>
      <c r="B24" s="81">
        <v>0.25</v>
      </c>
      <c r="C24" s="76"/>
      <c r="E24" s="112"/>
      <c r="F24" s="114"/>
      <c r="G24" s="116"/>
      <c r="U24" s="42" t="s">
        <v>91</v>
      </c>
      <c r="V24" s="65">
        <f>IF(O13&lt;$B$11,O13*E13-B36,O13*D13+B11*(E13-D13)-B36)</f>
        <v>40690.456297650489</v>
      </c>
      <c r="W24" s="43"/>
      <c r="X24" s="44"/>
      <c r="AC24" s="42" t="s">
        <v>91</v>
      </c>
      <c r="AD24" s="65">
        <f>IF(O13&lt;$B$11,O13*E13-B36,O13*D13+B11*(E13-D13)-B36)</f>
        <v>40690.456297650489</v>
      </c>
      <c r="AE24" s="43"/>
      <c r="AF24" s="44"/>
    </row>
    <row r="25" spans="1:32" ht="24.75" customHeight="1" x14ac:dyDescent="0.65">
      <c r="E25" s="111" t="s">
        <v>112</v>
      </c>
      <c r="F25" s="113">
        <f>C85</f>
        <v>1.0310540928924821</v>
      </c>
      <c r="G25" s="115" t="str">
        <f>IF(F25&lt;1, "OK","N.G.")</f>
        <v>N.G.</v>
      </c>
      <c r="U25" s="42" t="s">
        <v>92</v>
      </c>
      <c r="V25" s="64">
        <f>V22/V24</f>
        <v>6667.0442139796951</v>
      </c>
      <c r="W25" s="43"/>
      <c r="X25" s="44"/>
      <c r="AC25" s="42" t="s">
        <v>92</v>
      </c>
      <c r="AD25" s="64">
        <f>AD22/AD24</f>
        <v>8907.9882509257623</v>
      </c>
      <c r="AE25" s="43"/>
      <c r="AF25" s="44"/>
    </row>
    <row r="26" spans="1:32" ht="24.75" customHeight="1" thickBot="1" x14ac:dyDescent="0.7">
      <c r="A26" s="91" t="s">
        <v>128</v>
      </c>
      <c r="B26" s="69" t="s">
        <v>124</v>
      </c>
      <c r="C26" s="70"/>
      <c r="E26" s="112"/>
      <c r="F26" s="114"/>
      <c r="G26" s="116"/>
      <c r="U26" s="45" t="s">
        <v>93</v>
      </c>
      <c r="V26" s="66">
        <f>V22/V20</f>
        <v>0.2881443436479198</v>
      </c>
      <c r="W26" s="35"/>
      <c r="X26" s="36"/>
      <c r="AC26" s="45" t="s">
        <v>93</v>
      </c>
      <c r="AD26" s="66">
        <f>AD22/AD20</f>
        <v>0.31099332320450296</v>
      </c>
      <c r="AE26" s="35"/>
      <c r="AF26" s="36"/>
    </row>
    <row r="27" spans="1:32" ht="24.75" customHeight="1" thickBot="1" x14ac:dyDescent="0.5">
      <c r="A27" s="7" t="s">
        <v>8</v>
      </c>
      <c r="B27" s="88" t="s">
        <v>127</v>
      </c>
      <c r="C27" s="88" t="s">
        <v>127</v>
      </c>
      <c r="E27" s="111" t="s">
        <v>136</v>
      </c>
      <c r="F27" s="113">
        <f>B59</f>
        <v>0.8280676906472435</v>
      </c>
      <c r="G27" s="115" t="str">
        <f>IF(F27&lt;1, "OK","N.G.")</f>
        <v>OK</v>
      </c>
    </row>
    <row r="28" spans="1:32" ht="24.75" customHeight="1" thickBot="1" x14ac:dyDescent="0.5">
      <c r="A28" s="9" t="s">
        <v>49</v>
      </c>
      <c r="B28" s="81">
        <v>2</v>
      </c>
      <c r="C28" s="81">
        <v>1</v>
      </c>
      <c r="E28" s="112"/>
      <c r="F28" s="114"/>
      <c r="G28" s="116"/>
      <c r="I28" s="120" t="s">
        <v>102</v>
      </c>
      <c r="J28" s="121"/>
      <c r="K28" s="122"/>
      <c r="M28" s="117" t="str">
        <f>"CASE2: D+SD+"&amp;B$24&amp;"*Live    (without Creep)"</f>
        <v>CASE2: D+SD+0.25*Live    (without Creep)</v>
      </c>
      <c r="N28" s="118"/>
      <c r="O28" s="119"/>
      <c r="R28" s="49" t="str">
        <f>"CASE3: D+SD+"&amp;B$24&amp;"*Live  (5year Creep)"</f>
        <v>CASE3: D+SD+0.25*Live  (5year Creep)</v>
      </c>
      <c r="S28" s="50"/>
      <c r="T28" s="51"/>
      <c r="W28" s="117" t="str">
        <f>"CASE4: D+"&amp;B$23&amp;"(SD)    (3month Creep)"</f>
        <v>CASE4: D+0.7(SD)    (3month Creep)</v>
      </c>
      <c r="X28" s="118"/>
      <c r="Y28" s="119"/>
    </row>
    <row r="29" spans="1:32" ht="24.75" customHeight="1" x14ac:dyDescent="0.45">
      <c r="A29" s="10"/>
      <c r="B29" s="89">
        <f>IF(B27="f8",8,IF(B27="f10",10,IF(B27="f12",12,IF(B27="f14",14,IF(B27="f16",16,IF(B27="f18",18,IF(B27="f20",20)))))))</f>
        <v>16</v>
      </c>
      <c r="C29" s="89">
        <f>IF(C27="f8",8,IF(C27="f10",10,IF(C27="f12",12,IF(C27="f14",14,IF(C27="f16",16,IF(C27="f18",18,IF(C27="f20",20)))))))</f>
        <v>16</v>
      </c>
      <c r="E29" s="111" t="s">
        <v>137</v>
      </c>
      <c r="F29" s="113">
        <f>B64</f>
        <v>0.10363238398394746</v>
      </c>
      <c r="G29" s="115" t="str">
        <f>IF(F29&lt;1, "OK","N.G.")</f>
        <v>OK</v>
      </c>
      <c r="I29" s="47" t="s">
        <v>79</v>
      </c>
      <c r="J29" s="32">
        <f>SUM(J15:J17)</f>
        <v>46.93359375</v>
      </c>
      <c r="K29" s="33" t="s">
        <v>7</v>
      </c>
      <c r="M29" s="62" t="str">
        <f>"Ma-(D+SD+"&amp;B$24&amp;"L)="</f>
        <v>Ma-(D+SD+0.25L)=</v>
      </c>
      <c r="N29" s="32">
        <f>J15+J16+B24*J17</f>
        <v>37.705078125</v>
      </c>
      <c r="O29" s="33" t="s">
        <v>7</v>
      </c>
      <c r="P29" s="37"/>
      <c r="R29" s="68" t="s">
        <v>79</v>
      </c>
      <c r="S29" s="46">
        <f>N29</f>
        <v>37.705078125</v>
      </c>
      <c r="T29" s="33" t="s">
        <v>7</v>
      </c>
      <c r="W29" s="25" t="str">
        <f>"Ma-(D+"&amp;B23&amp;"*(SD))="</f>
        <v>Ma-(D+0.7*(SD))=</v>
      </c>
      <c r="X29" s="46">
        <f>IF(J15+B23*J16&gt;0,J15+B23*J16,0.000001)</f>
        <v>28.72265625</v>
      </c>
      <c r="Y29" s="33" t="s">
        <v>7</v>
      </c>
    </row>
    <row r="30" spans="1:32" ht="24.75" customHeight="1" thickBot="1" x14ac:dyDescent="0.7">
      <c r="A30" s="90" t="s">
        <v>30</v>
      </c>
      <c r="B30" s="73"/>
      <c r="C30" s="74"/>
      <c r="E30" s="112"/>
      <c r="F30" s="114"/>
      <c r="G30" s="116"/>
      <c r="I30" s="38" t="s">
        <v>74</v>
      </c>
      <c r="J30" s="32">
        <f>(1-(J14/J29)^2)</f>
        <v>0.88663065883888037</v>
      </c>
      <c r="K30" s="33"/>
      <c r="M30" s="38" t="s">
        <v>74</v>
      </c>
      <c r="N30" s="32">
        <f>MAX(0,1-(J14/N29)^2)</f>
        <v>0.82434377205003118</v>
      </c>
      <c r="O30" s="33"/>
      <c r="R30" s="38" t="s">
        <v>75</v>
      </c>
      <c r="S30" s="46">
        <f>MAX(0,1-0.5*($J14/S29)^2)</f>
        <v>0.91217188602501564</v>
      </c>
      <c r="T30" s="33"/>
      <c r="W30" s="38" t="s">
        <v>75</v>
      </c>
      <c r="X30" s="46">
        <f>MAX(0,1-0.5*($J14/X29)^2)</f>
        <v>0.8486494353832974</v>
      </c>
      <c r="Y30" s="33"/>
    </row>
    <row r="31" spans="1:32" ht="24.75" customHeight="1" x14ac:dyDescent="0.65">
      <c r="A31" s="8" t="s">
        <v>8</v>
      </c>
      <c r="B31" s="88" t="s">
        <v>126</v>
      </c>
      <c r="C31" s="87" t="s">
        <v>3</v>
      </c>
      <c r="E31" s="3"/>
      <c r="I31" s="38" t="s">
        <v>76</v>
      </c>
      <c r="J31" s="32">
        <f>(J29*10^6/J5/J12)</f>
        <v>2.2650631652400235E-6</v>
      </c>
      <c r="K31" s="33"/>
      <c r="M31" s="38" t="s">
        <v>76</v>
      </c>
      <c r="N31" s="32">
        <f>(N29*10^6/J5/J12)</f>
        <v>1.8196855765692325E-6</v>
      </c>
      <c r="O31" s="33"/>
      <c r="R31" s="38" t="s">
        <v>96</v>
      </c>
      <c r="S31" s="46">
        <f>(Z22*(Z6*(N31+N31*(Z15-J11)*Z19/Z21)-Z5*Z19/Z21))</f>
        <v>3.80486924007409E-6</v>
      </c>
      <c r="T31" s="33"/>
      <c r="W31" s="38" t="s">
        <v>96</v>
      </c>
      <c r="X31" s="27">
        <f>R22*(R6*(N31*X29/N29+N31*X29/N29*(R15-J11)*R19/R21)-R5*R19/R21)</f>
        <v>2.1827624076686057E-6</v>
      </c>
      <c r="Y31" s="33"/>
    </row>
    <row r="32" spans="1:32" ht="24.75" customHeight="1" x14ac:dyDescent="0.65">
      <c r="A32" s="18" t="s">
        <v>10</v>
      </c>
      <c r="B32" s="81">
        <v>150</v>
      </c>
      <c r="C32" s="87" t="s">
        <v>3</v>
      </c>
      <c r="E32" s="3"/>
      <c r="I32" s="38" t="s">
        <v>77</v>
      </c>
      <c r="J32" s="32">
        <f>(J29*10^6/N5/O14)</f>
        <v>4.1583192494817715E-6</v>
      </c>
      <c r="K32" s="33"/>
      <c r="M32" s="38" t="s">
        <v>77</v>
      </c>
      <c r="N32" s="32">
        <f>N29*10^6/N5/O14</f>
        <v>3.3406722060443445E-6</v>
      </c>
      <c r="O32" s="33"/>
      <c r="R32" s="38" t="s">
        <v>97</v>
      </c>
      <c r="S32" s="46">
        <f>AD26*(AD6*(N32+N32*(AD19-O13)*AD23/AD25)-AD5*AD23/AD25)</f>
        <v>3.868020616223999E-6</v>
      </c>
      <c r="T32" s="33"/>
      <c r="W32" s="38" t="s">
        <v>97</v>
      </c>
      <c r="X32" s="27">
        <f>V26*(V6*(N32*X29/N29+N32*X29/N29*(V19-O13)*V23/V25)-V5*V23/V25)</f>
        <v>2.5859306132791148E-6</v>
      </c>
      <c r="Y32" s="33"/>
    </row>
    <row r="33" spans="1:27" ht="24.75" customHeight="1" x14ac:dyDescent="0.65">
      <c r="A33" s="13"/>
      <c r="B33" s="89">
        <f>IF(B31="f4.5",4.5,IF(B31="f5",5,IF(B31="f6",6,IF(B31="f6",6,IF(B31="f8",8,IF(B31="f10",10))))))</f>
        <v>10</v>
      </c>
      <c r="D33" s="3"/>
      <c r="E33" s="3"/>
      <c r="I33" s="38" t="s">
        <v>78</v>
      </c>
      <c r="J33" s="32">
        <f>J30*J32+(1-J30)*J31</f>
        <v>3.9436820545620033E-6</v>
      </c>
      <c r="K33" s="33"/>
      <c r="M33" s="38" t="s">
        <v>78</v>
      </c>
      <c r="N33" s="32">
        <f>IF(N29&lt;J$14,(N29*10^6/J$5/J$12),N30*N32+(1-N30)*N31)</f>
        <v>3.0735014319484093E-6</v>
      </c>
      <c r="O33" s="33"/>
      <c r="R33" s="38" t="s">
        <v>98</v>
      </c>
      <c r="S33" s="46">
        <f>S31+N31</f>
        <v>5.6245548166433223E-6</v>
      </c>
      <c r="T33" s="33"/>
      <c r="W33" s="38" t="s">
        <v>98</v>
      </c>
      <c r="X33" s="27">
        <f>X31+N31*X29/N29</f>
        <v>3.5689471312649348E-6</v>
      </c>
      <c r="Y33" s="33"/>
    </row>
    <row r="34" spans="1:27" ht="24.75" customHeight="1" thickBot="1" x14ac:dyDescent="0.65">
      <c r="A34" s="17" t="s">
        <v>29</v>
      </c>
      <c r="B34" s="105" t="str">
        <f>"1 f"&amp;IF(B7&lt;=4,8,IF(B7&lt;=5.5,10,IF(B7&lt;=7,12,14)))</f>
        <v>1 f14</v>
      </c>
      <c r="C34" s="23">
        <f>IF(B7&lt;=4,8,IF(B7&lt;=5.5,10,IF(B7&lt;=7,12,14)))</f>
        <v>14</v>
      </c>
      <c r="D34" s="3"/>
      <c r="E34" s="3"/>
      <c r="I34" s="39" t="str">
        <f>"delta (D+SD+L)="</f>
        <v>delta (D+SD+L)=</v>
      </c>
      <c r="J34" s="35">
        <f>5/48*J33*(B7*1000)^2</f>
        <v>23.10751203844924</v>
      </c>
      <c r="K34" s="36" t="s">
        <v>3</v>
      </c>
      <c r="M34" s="39" t="str">
        <f>"delta (D+SD+L)="</f>
        <v>delta (D+SD+L)=</v>
      </c>
      <c r="N34" s="35">
        <f>5/48*N33*(B7*1000)^2</f>
        <v>18.008797452822712</v>
      </c>
      <c r="O34" s="36" t="s">
        <v>3</v>
      </c>
      <c r="R34" s="38" t="s">
        <v>100</v>
      </c>
      <c r="S34" s="46">
        <f>S32+N32</f>
        <v>7.208692822268344E-6</v>
      </c>
      <c r="T34" s="33"/>
      <c r="W34" s="38" t="s">
        <v>100</v>
      </c>
      <c r="X34" s="27">
        <f>X32+N32*X29/N29</f>
        <v>5.1307596970443641E-6</v>
      </c>
      <c r="Y34" s="33"/>
    </row>
    <row r="35" spans="1:27" ht="24.75" customHeight="1" x14ac:dyDescent="0.65">
      <c r="A35" s="17" t="s">
        <v>50</v>
      </c>
      <c r="B35" s="88" t="s">
        <v>125</v>
      </c>
      <c r="C35" s="89">
        <f>IF(B35="f6",6,IF(B35="f8",8,IF(B35="f10",10,IF(B35="f12",12,IF(B35="f14",14,IF(B35="1f16",16,IF(B35="1f18",18)))))))</f>
        <v>8</v>
      </c>
      <c r="D35" s="3"/>
      <c r="E35" s="3"/>
      <c r="R35" s="38" t="s">
        <v>99</v>
      </c>
      <c r="S35" s="46">
        <f>S30*S34+(1-S30)*S33</f>
        <v>7.0695609689582051E-6</v>
      </c>
      <c r="T35" s="33"/>
      <c r="W35" s="38" t="s">
        <v>99</v>
      </c>
      <c r="X35" s="27">
        <f>X30*X34+(1-X30)*X33</f>
        <v>4.8943784833881868E-6</v>
      </c>
      <c r="Y35" s="33"/>
    </row>
    <row r="36" spans="1:27" ht="24.75" customHeight="1" thickBot="1" x14ac:dyDescent="0.5">
      <c r="A36" s="17" t="s">
        <v>104</v>
      </c>
      <c r="B36" s="83">
        <f>PI()/4*(C34^2*D14+C35^2)</f>
        <v>358.14156250923639</v>
      </c>
      <c r="C36" s="23" t="s">
        <v>16</v>
      </c>
      <c r="D36" s="3"/>
      <c r="E36" s="3"/>
      <c r="R36" s="53" t="str">
        <f>"delta (D+SD+L)="</f>
        <v>delta (D+SD+L)=</v>
      </c>
      <c r="S36" s="46">
        <f>5/48*S35*(B7*1000)^2</f>
        <v>41.423208802489484</v>
      </c>
      <c r="T36" s="33" t="s">
        <v>3</v>
      </c>
      <c r="W36" s="53" t="str">
        <f>"delta (D+SD+L)="</f>
        <v>delta (D+SD+L)=</v>
      </c>
      <c r="X36" s="46">
        <f>5/48*X35*(B7*1000)^2</f>
        <v>28.677998926102656</v>
      </c>
      <c r="Y36" s="33" t="s">
        <v>3</v>
      </c>
    </row>
    <row r="37" spans="1:27" ht="24.75" customHeight="1" x14ac:dyDescent="0.65">
      <c r="A37" s="17" t="s">
        <v>51</v>
      </c>
      <c r="B37" s="92" t="str">
        <f>"2 f"&amp;MAX(10,ROUNDUP((B41/4/PI())^0.5,0)*2)</f>
        <v>2 f20</v>
      </c>
      <c r="C37" s="61"/>
      <c r="D37" s="3"/>
      <c r="E37" s="3"/>
      <c r="F37" s="5"/>
      <c r="H37" s="52">
        <v>0.05</v>
      </c>
      <c r="I37" s="29" t="s">
        <v>103</v>
      </c>
      <c r="J37" s="58" t="s">
        <v>78</v>
      </c>
      <c r="K37" s="29"/>
      <c r="L37" s="30"/>
      <c r="M37" s="52">
        <v>0.05</v>
      </c>
      <c r="N37" s="29" t="s">
        <v>103</v>
      </c>
      <c r="O37" s="58" t="s">
        <v>78</v>
      </c>
      <c r="P37" s="29"/>
      <c r="Q37" s="30"/>
      <c r="R37" s="52">
        <v>0.05</v>
      </c>
      <c r="S37" s="29" t="s">
        <v>103</v>
      </c>
      <c r="T37" s="58" t="s">
        <v>78</v>
      </c>
      <c r="U37" s="29"/>
      <c r="V37" s="30"/>
      <c r="W37" s="52">
        <v>0.05</v>
      </c>
      <c r="X37" s="29" t="s">
        <v>103</v>
      </c>
      <c r="Y37" s="29"/>
      <c r="Z37" s="29"/>
      <c r="AA37" s="30"/>
    </row>
    <row r="38" spans="1:27" ht="24.75" customHeight="1" x14ac:dyDescent="0.65">
      <c r="A38" s="17" t="s">
        <v>13</v>
      </c>
      <c r="B38" s="92" t="str">
        <f>"1 f"&amp;MAX(10,ROUNDUP((B41*0.15/PI())^0.5,0)*2)</f>
        <v>1 f16</v>
      </c>
      <c r="C38" s="23"/>
      <c r="D38" s="3"/>
      <c r="H38" s="48">
        <f>0+H$37*$B$7*1000</f>
        <v>375</v>
      </c>
      <c r="I38" s="32">
        <f t="shared" ref="I38:I47" si="5">J$29*4*((H38/$B$7/1000)-(H38/$B$7/1000)^2)</f>
        <v>8.9173828124999996</v>
      </c>
      <c r="J38" s="32">
        <f t="shared" ref="J38:J47" si="6">IF(I38&lt;J$14,(I38*10^6/J$5/J$12),(1-(J$14/I38)^2)*(I38*10^6/N$5/O$14)+(1-(1-(J$14/I38)^2))*(I38*10^6/J$5/J$12))</f>
        <v>4.3036200139560452E-7</v>
      </c>
      <c r="K38" s="32">
        <f>J38*H38/2</f>
        <v>8.0692875261675846E-5</v>
      </c>
      <c r="L38" s="33">
        <f>H47-H$38*2/3</f>
        <v>3500</v>
      </c>
      <c r="M38" s="48">
        <f>0+M$37*$B$7*1000</f>
        <v>375</v>
      </c>
      <c r="N38" s="32">
        <f>N$29*4*((M38/$B$7/1000)-(M38/$B$7/1000)^2)</f>
        <v>7.1639648437499996</v>
      </c>
      <c r="O38" s="32">
        <f t="shared" ref="O38:O47" si="7">IF(N38&lt;J$14,(N38*10^6/J$5/J$12),(1-(J$14/N38)^2)*(N38*10^6/N$5/O$14)+(1-(1-(J$14/N38)^2))*(N38*10^6/J$5/J$12))</f>
        <v>3.4574025954815421E-7</v>
      </c>
      <c r="P38" s="32">
        <f>O38*M38/2</f>
        <v>6.4826298665278915E-5</v>
      </c>
      <c r="Q38" s="33">
        <f>M47-M$38*2/3</f>
        <v>3500</v>
      </c>
      <c r="R38" s="48">
        <f>0+R$37*$B$7*1000</f>
        <v>375</v>
      </c>
      <c r="S38" s="32">
        <f t="shared" ref="S38:S47" si="8">S$29*4*((R38/$B$7/1000)-(R38/$B$7/1000)^2)</f>
        <v>7.1639648437499996</v>
      </c>
      <c r="T38" s="32">
        <f>MAX(0,1-0.5*($J$14/S38)^2)*(($AD$26*($AD$6*((S38*10^6/$N$5/$O$14)+(S38*10^6/$N$5/$O$14)*($AD$19-$O$13)*$AD$23/$AD$25)-$AD$5*$AD$23/$AD$25))+(S38*10^6/$N$5/$O$14))+(1-MAX(0,1-0.5*($J$14/S38)^2))*(($Z$22*($Z$6*((S38*10^6/$J$5/$J$12)+(S38*10^6/$J$5/$J$12)*($Z$15-$J$11)*$Z$19/$Z$21)-$Z$5*$Z$19/$Z$21))+(S38*10^6/$J$5/$J$12))</f>
        <v>2.3583869522529285E-6</v>
      </c>
      <c r="U38" s="32">
        <f>T38*R38/2</f>
        <v>4.4219755354742412E-4</v>
      </c>
      <c r="V38" s="33">
        <f>R47-R$38*2/3</f>
        <v>3500</v>
      </c>
      <c r="W38" s="48">
        <f>0+W$37*$B$7*1000</f>
        <v>375</v>
      </c>
      <c r="X38" s="32">
        <f>X$29*4*((W38/$B$7/1000)-(W38/$B$7/1000)^2)</f>
        <v>5.4573046874999998</v>
      </c>
      <c r="Y38" s="32">
        <f>(MAX(0,1-0.5*($J$14/X38)^2))*(($V$26*($V$6*($N$32*X38/$N$29+$N$32*X38/$N$29*($V$19-$O$13)*$V$23/$V$25)-$V$5*$V$23/$V$25))+$N$32*X38/$N$29)+(1-(MAX(0,1-0.5*($J$14/X38)^2)))*(($R$22*($R$6*($N$31*X38/$N$29+$N$31*X38/$N$29*($R$15-$J$11)*$R$19/$R$21)-$R$5*$R$19/$R$21))+$N$31*X38/$N$29)</f>
        <v>1.5323524583311493E-6</v>
      </c>
      <c r="Z38" s="32">
        <f>Y38*W38/2</f>
        <v>2.8731608593709048E-4</v>
      </c>
      <c r="AA38" s="33">
        <f>W47-W$38*2/3</f>
        <v>3500</v>
      </c>
    </row>
    <row r="39" spans="1:27" ht="24.75" customHeight="1" x14ac:dyDescent="0.65">
      <c r="E39" s="3"/>
      <c r="H39" s="48">
        <f t="shared" ref="H39:H47" si="9">H38+H$37*$B$7*1000</f>
        <v>750</v>
      </c>
      <c r="I39" s="32">
        <f t="shared" si="5"/>
        <v>16.896093749999999</v>
      </c>
      <c r="J39" s="32">
        <f t="shared" si="6"/>
        <v>9.0078049948074859E-7</v>
      </c>
      <c r="K39" s="32">
        <f t="shared" ref="K39:K47" si="10">J38*(H39-H38)+(J39-J38)*(H39-H38)/2</f>
        <v>2.4958921891431618E-4</v>
      </c>
      <c r="L39" s="33">
        <f t="shared" ref="L39:L47" si="11">(J38*(H39-H38)*(H$47-(H38+H39)/2)+(J39-J38)*(H39-H38)/2*(H$47-(2*H39+H38)/3))/(J38*(H39-H38)+(J39-J38)*(H39-H38)/2)</f>
        <v>3165.4128409535683</v>
      </c>
      <c r="M39" s="48">
        <f>M38+M$37*$B$7*1000</f>
        <v>750</v>
      </c>
      <c r="N39" s="32">
        <f>N$29*4*((M39/$B$7/1000)-(M39/$B$7/1000)^2)</f>
        <v>13.573828125</v>
      </c>
      <c r="O39" s="32">
        <f t="shared" si="7"/>
        <v>6.5508680756492374E-7</v>
      </c>
      <c r="P39" s="32">
        <f>O38*(M39-M38)+(O39-O38)*(M39-M38)/2</f>
        <v>1.8765507508370212E-4</v>
      </c>
      <c r="Q39" s="33">
        <f>(O38*(M39-M38)*(M$47-(M38+M39)/2)+(O39-O38)*(M39-M38)/2*(M$47-(2*M39+M38)/3))/(O38*(M39-M38)+(O39-O38)*(M39-M38)/2)</f>
        <v>3168.181818181818</v>
      </c>
      <c r="R39" s="48">
        <f>R38+R$37*$B$7*1000</f>
        <v>750</v>
      </c>
      <c r="S39" s="32">
        <f t="shared" si="8"/>
        <v>13.573828125</v>
      </c>
      <c r="T39" s="32">
        <f t="shared" ref="T39:T47" si="12">MAX(0,1-0.5*($J$14/S39)^2)*(($AD$26*($AD$6*((S39*10^6/$N$5/$O$14)+(S39*10^6/$N$5/$O$14)*($AD$19-$O$13)*$AD$23/$AD$25)-$AD$5*$AD$23/$AD$25))+(S39*10^6/$N$5/$O$14))+(1-MAX(0,1-0.5*($J$14/S39)^2))*(($Z$22*($Z$6*((S39*10^6/$J$5/$J$12)+(S39*10^6/$J$5/$J$12)*($Z$15-$J$11)*$Z$19/$Z$21)-$Z$5*$Z$19/$Z$21))+(S39*10^6/$J$5/$J$12))</f>
        <v>3.4175364927748299E-6</v>
      </c>
      <c r="U39" s="32">
        <f t="shared" ref="U39:U47" si="13">T38*(R39-R38)+(T39-T38)*(R39-R38)/2</f>
        <v>1.0829856459427048E-3</v>
      </c>
      <c r="V39" s="33">
        <f t="shared" ref="V39:V47" si="14">(T38*(R39-R38)*(R$47-(R38+R39)/2)+(T39-T38)*(R39-R38)/2*(R$47-(2*R39+R38)/3))/(T38*(R39-R38)+(T39-T38)*(R39-R38)/2)</f>
        <v>3176.0391752656269</v>
      </c>
      <c r="W39" s="48">
        <f>W38+W$37*$B$7*1000</f>
        <v>750</v>
      </c>
      <c r="X39" s="32">
        <f>X$29*4*((W39/$B$7/1000)-(W39/$B$7/1000)^2)</f>
        <v>10.34015625</v>
      </c>
      <c r="Y39" s="32">
        <f t="shared" ref="Y39:Y47" si="15">(MAX(0,1-0.5*($J$14/X39)^2))*(($V$26*($V$6*($N$32*X39/$N$29+$N$32*X39/$N$29*($V$19-$O$13)*$V$23/$V$25)-$V$5*$V$23/$V$25))+$N$32*X39/$N$29)+(1-(MAX(0,1-0.5*($J$14/X39)^2)))*(($R$22*($R$6*($N$31*X39/$N$29+$N$31*X39/$N$29*($R$15-$J$11)*$R$19/$R$21)-$R$5*$R$19/$R$21))+$N$31*X39/$N$29)</f>
        <v>1.9597859082061411E-6</v>
      </c>
      <c r="Z39" s="32">
        <f>Y38*(W39-W38)+(Y39-Y38)*(W39-W38)/2</f>
        <v>6.5477594372574189E-4</v>
      </c>
      <c r="AA39" s="33">
        <f t="shared" ref="AA39:AA47" si="16">(Y38*(W39-W38)*(W$47-(W38+W39)/2)+(Y39-Y38)*(W39-W38)/2*(W$47-(2*W39+W38)/3))/(Y38*(W39-W38)+(Y39-Y38)*(W39-W38)/2)</f>
        <v>3179.8500767114006</v>
      </c>
    </row>
    <row r="40" spans="1:27" ht="24.75" customHeight="1" x14ac:dyDescent="0.65">
      <c r="A40" s="108" t="s">
        <v>129</v>
      </c>
      <c r="B40" s="109"/>
      <c r="C40" s="110"/>
      <c r="E40" s="3"/>
      <c r="H40" s="48">
        <f t="shared" si="9"/>
        <v>1125</v>
      </c>
      <c r="I40" s="32">
        <f t="shared" si="5"/>
        <v>23.936132812500002</v>
      </c>
      <c r="J40" s="32">
        <f t="shared" si="6"/>
        <v>1.6998855722949822E-6</v>
      </c>
      <c r="K40" s="32">
        <f t="shared" si="10"/>
        <v>4.8762488845794955E-4</v>
      </c>
      <c r="L40" s="33">
        <f t="shared" si="11"/>
        <v>2793.2956632368459</v>
      </c>
      <c r="M40" s="48">
        <f t="shared" ref="M40:M47" si="17">M39+M$37*$B$7*1000</f>
        <v>1125</v>
      </c>
      <c r="N40" s="32">
        <f>N$29*4*((M40/$B$7/1000)-(M40/$B$7/1000)^2)</f>
        <v>19.229589843749999</v>
      </c>
      <c r="O40" s="32">
        <f t="shared" si="7"/>
        <v>1.1798785621494097E-6</v>
      </c>
      <c r="P40" s="32">
        <f t="shared" ref="P40:P41" si="18">O39*(M40-M39)+(O40-O39)*(M40-M39)/2</f>
        <v>3.4405600682143749E-4</v>
      </c>
      <c r="Q40" s="33">
        <f t="shared" ref="Q40:Q47" si="19">(O39*(M40-M39)*(M$47-(M39+M40)/2)+(O40-O39)*(M40-M39)/2*(M$47-(2*M40+M39)/3))/(O39*(M40-M39)+(O40-O39)*(M40-M39)/2)</f>
        <v>2794.6252841046062</v>
      </c>
      <c r="R40" s="48">
        <f t="shared" ref="R40:R47" si="20">R39+R$37*$B$7*1000</f>
        <v>1125</v>
      </c>
      <c r="S40" s="32">
        <f t="shared" si="8"/>
        <v>19.229589843749999</v>
      </c>
      <c r="T40" s="32">
        <f t="shared" si="12"/>
        <v>4.4825108483042308E-6</v>
      </c>
      <c r="U40" s="32">
        <f t="shared" si="13"/>
        <v>1.481258876452324E-3</v>
      </c>
      <c r="V40" s="33">
        <f t="shared" si="14"/>
        <v>2804.0746204615157</v>
      </c>
      <c r="W40" s="48">
        <f t="shared" ref="W40:W47" si="21">W39+W$37*$B$7*1000</f>
        <v>1125</v>
      </c>
      <c r="X40" s="32">
        <f t="shared" ref="X40:X47" si="22">X$29*4*((W40/$B$7/1000)-(W40/$B$7/1000)^2)</f>
        <v>14.648554687500001</v>
      </c>
      <c r="Y40" s="32">
        <f t="shared" si="15"/>
        <v>2.8480088428293594E-6</v>
      </c>
      <c r="Z40" s="32">
        <f>Y39*(W40-W39)+(Y40-Y39)*(W40-W39)/2</f>
        <v>9.0146151581915637E-4</v>
      </c>
      <c r="AA40" s="33">
        <f t="shared" si="16"/>
        <v>2800.9533478884482</v>
      </c>
    </row>
    <row r="41" spans="1:27" ht="24.75" customHeight="1" x14ac:dyDescent="0.65">
      <c r="A41" s="94" t="s">
        <v>20</v>
      </c>
      <c r="B41" s="95">
        <f>((B28*B29^2*PI()/4+C28*C29^2*PI()/4))*D14</f>
        <v>1206.3715789784806</v>
      </c>
      <c r="C41" s="96" t="s">
        <v>45</v>
      </c>
      <c r="D41" s="4"/>
      <c r="E41" s="102"/>
      <c r="H41" s="48">
        <f t="shared" si="9"/>
        <v>1500</v>
      </c>
      <c r="I41" s="32">
        <f t="shared" si="5"/>
        <v>30.037500000000001</v>
      </c>
      <c r="J41" s="32">
        <f t="shared" si="6"/>
        <v>2.3259537026061963E-6</v>
      </c>
      <c r="K41" s="32">
        <f t="shared" si="10"/>
        <v>7.5484486404397099E-4</v>
      </c>
      <c r="L41" s="33">
        <f t="shared" si="11"/>
        <v>2427.7804718538068</v>
      </c>
      <c r="M41" s="48">
        <f t="shared" si="17"/>
        <v>1500</v>
      </c>
      <c r="N41" s="32">
        <f>N$29*4*((M41/$B$7/1000)-(M41/$B$7/1000)^2)</f>
        <v>24.131250000000001</v>
      </c>
      <c r="O41" s="32">
        <f t="shared" si="7"/>
        <v>1.7205758773434822E-6</v>
      </c>
      <c r="P41" s="32">
        <f t="shared" si="18"/>
        <v>5.4383520740491724E-4</v>
      </c>
      <c r="Q41" s="33">
        <f t="shared" si="19"/>
        <v>2425.8488663915928</v>
      </c>
      <c r="R41" s="48">
        <f t="shared" si="20"/>
        <v>1500</v>
      </c>
      <c r="S41" s="32">
        <f t="shared" si="8"/>
        <v>24.131250000000001</v>
      </c>
      <c r="T41" s="32">
        <f t="shared" si="12"/>
        <v>5.229653723928681E-6</v>
      </c>
      <c r="U41" s="32">
        <f t="shared" si="13"/>
        <v>1.8210308572936711E-3</v>
      </c>
      <c r="V41" s="33">
        <f t="shared" si="14"/>
        <v>2432.6919647387326</v>
      </c>
      <c r="W41" s="48">
        <f t="shared" si="21"/>
        <v>1500</v>
      </c>
      <c r="X41" s="32">
        <f t="shared" si="22"/>
        <v>18.3825</v>
      </c>
      <c r="Y41" s="32">
        <f t="shared" si="15"/>
        <v>3.4912625992939919E-6</v>
      </c>
      <c r="Z41" s="32">
        <f t="shared" ref="Z41:Z47" si="23">Y40*(W41-W40)+(Y41-Y40)*(W41-W40)/2</f>
        <v>1.1886133953981283E-3</v>
      </c>
      <c r="AA41" s="33">
        <f t="shared" si="16"/>
        <v>2431.158047277816</v>
      </c>
    </row>
    <row r="42" spans="1:27" ht="24.75" customHeight="1" x14ac:dyDescent="0.65">
      <c r="A42" s="94" t="s">
        <v>4</v>
      </c>
      <c r="B42" s="95">
        <f>B22*(B12+D13)/1000</f>
        <v>8.7100000000000009</v>
      </c>
      <c r="C42" s="96" t="s">
        <v>5</v>
      </c>
      <c r="D42" s="3">
        <f>(1.2*(B16+B17+B20))*(B12+D13)/1000</f>
        <v>5.91</v>
      </c>
      <c r="E42" s="102"/>
      <c r="H42" s="48">
        <f t="shared" si="9"/>
        <v>1875</v>
      </c>
      <c r="I42" s="32">
        <f t="shared" si="5"/>
        <v>35.2001953125</v>
      </c>
      <c r="J42" s="32">
        <f t="shared" si="6"/>
        <v>2.8325565105516385E-6</v>
      </c>
      <c r="K42" s="32">
        <f t="shared" si="10"/>
        <v>9.6722066496709406E-4</v>
      </c>
      <c r="L42" s="33">
        <f t="shared" si="11"/>
        <v>2056.3620504393248</v>
      </c>
      <c r="M42" s="48">
        <f t="shared" si="17"/>
        <v>1875</v>
      </c>
      <c r="N42" s="32">
        <f>N$29*4*((M42/$B$7/1000)-(M42/$B$7/1000)^2)</f>
        <v>28.27880859375</v>
      </c>
      <c r="O42" s="32">
        <f t="shared" si="7"/>
        <v>2.1492764557386785E-6</v>
      </c>
      <c r="P42" s="32">
        <f>O41*(M42-M41)+(O42-O41)*(M42-M41)/2</f>
        <v>7.2559731245290515E-4</v>
      </c>
      <c r="Q42" s="33">
        <f t="shared" si="19"/>
        <v>2055.5762768592881</v>
      </c>
      <c r="R42" s="48">
        <f t="shared" si="20"/>
        <v>1875</v>
      </c>
      <c r="S42" s="32">
        <f t="shared" si="8"/>
        <v>28.27880859375</v>
      </c>
      <c r="T42" s="32">
        <f t="shared" si="12"/>
        <v>5.8132290206468531E-6</v>
      </c>
      <c r="U42" s="32">
        <f t="shared" si="13"/>
        <v>2.0705405146079123E-3</v>
      </c>
      <c r="V42" s="33">
        <f t="shared" si="14"/>
        <v>2059.1971073687437</v>
      </c>
      <c r="W42" s="48">
        <f t="shared" si="21"/>
        <v>1875</v>
      </c>
      <c r="X42" s="32">
        <f t="shared" si="22"/>
        <v>21.5419921875</v>
      </c>
      <c r="Y42" s="32">
        <f t="shared" si="15"/>
        <v>3.9553570747921471E-6</v>
      </c>
      <c r="Z42" s="32">
        <f t="shared" si="23"/>
        <v>1.3962411888911511E-3</v>
      </c>
      <c r="AA42" s="33">
        <f t="shared" si="16"/>
        <v>2058.6048225922464</v>
      </c>
    </row>
    <row r="43" spans="1:27" ht="24.75" customHeight="1" x14ac:dyDescent="0.65">
      <c r="A43" s="94" t="s">
        <v>6</v>
      </c>
      <c r="B43" s="95">
        <f>MAX(B42*B7^2/8,D43+D44)</f>
        <v>61.242187500000007</v>
      </c>
      <c r="C43" s="96" t="s">
        <v>7</v>
      </c>
      <c r="D43" s="3">
        <f>D42*(B7)^2/8</f>
        <v>41.5546875</v>
      </c>
      <c r="E43" s="3"/>
      <c r="H43" s="48">
        <f t="shared" si="9"/>
        <v>2250</v>
      </c>
      <c r="I43" s="32">
        <f t="shared" si="5"/>
        <v>39.424218750000001</v>
      </c>
      <c r="J43" s="32">
        <f t="shared" si="6"/>
        <v>3.2374676994221076E-6</v>
      </c>
      <c r="K43" s="32">
        <f t="shared" si="10"/>
        <v>1.1381295393700773E-3</v>
      </c>
      <c r="L43" s="33">
        <f t="shared" si="11"/>
        <v>1683.3308322291662</v>
      </c>
      <c r="M43" s="48">
        <f t="shared" si="17"/>
        <v>2250</v>
      </c>
      <c r="N43" s="32">
        <f t="shared" ref="N43:N47" si="24">N$29*4*((M43/$B$7/1000)-(M43/$B$7/1000)^2)</f>
        <v>31.672265624999998</v>
      </c>
      <c r="O43" s="32">
        <f t="shared" si="7"/>
        <v>2.4881042077249455E-6</v>
      </c>
      <c r="P43" s="32">
        <f t="shared" ref="P43:P47" si="25">O42*(M43-M42)+(O43-O42)*(M43-M42)/2</f>
        <v>8.6950887439942955E-4</v>
      </c>
      <c r="Q43" s="33">
        <f>(O42*(M43-M42)*(M$47-(M42+M43)/2)+(O43-O42)*(M43-M42)/2*(M$47-(2*M43+M42)/3))/(O42*(M43-M42)+(O43-O42)*(M43-M42)/2)</f>
        <v>1682.9334707379132</v>
      </c>
      <c r="R43" s="48">
        <f t="shared" si="20"/>
        <v>2250</v>
      </c>
      <c r="S43" s="32">
        <f t="shared" si="8"/>
        <v>31.672265624999998</v>
      </c>
      <c r="T43" s="32">
        <f t="shared" si="12"/>
        <v>6.2733515416961859E-6</v>
      </c>
      <c r="U43" s="32">
        <f t="shared" si="13"/>
        <v>2.26623385543932E-3</v>
      </c>
      <c r="V43" s="33">
        <f t="shared" si="14"/>
        <v>1685.1206953308877</v>
      </c>
      <c r="W43" s="48">
        <f t="shared" si="21"/>
        <v>2250</v>
      </c>
      <c r="X43" s="32">
        <f t="shared" si="22"/>
        <v>24.127031249999998</v>
      </c>
      <c r="Y43" s="32">
        <f t="shared" si="15"/>
        <v>4.3063954263647986E-6</v>
      </c>
      <c r="Z43" s="32">
        <f t="shared" si="23"/>
        <v>1.5490785939669275E-3</v>
      </c>
      <c r="AA43" s="33">
        <f t="shared" si="16"/>
        <v>1684.8444015697373</v>
      </c>
    </row>
    <row r="44" spans="1:27" ht="24.75" customHeight="1" x14ac:dyDescent="0.65">
      <c r="A44" s="94" t="s">
        <v>19</v>
      </c>
      <c r="B44" s="95">
        <f>(B41*B5*(B9-B41*B5/0.85/(D13+B12)/B4/2)/10^6)*0.9</f>
        <v>108.45394505378172</v>
      </c>
      <c r="C44" s="96" t="s">
        <v>7</v>
      </c>
      <c r="D44" s="3">
        <f>1.6*B18*B7/4</f>
        <v>3.9000000000000004</v>
      </c>
      <c r="H44" s="48">
        <f t="shared" si="9"/>
        <v>2625</v>
      </c>
      <c r="I44" s="32">
        <f t="shared" si="5"/>
        <v>42.709570312499999</v>
      </c>
      <c r="J44" s="32">
        <f t="shared" si="6"/>
        <v>3.5482054676660298E-6</v>
      </c>
      <c r="K44" s="32">
        <f t="shared" si="10"/>
        <v>1.2723137188290258E-3</v>
      </c>
      <c r="L44" s="33">
        <f t="shared" si="11"/>
        <v>1309.6379242652829</v>
      </c>
      <c r="M44" s="48">
        <f t="shared" si="17"/>
        <v>2625</v>
      </c>
      <c r="N44" s="32">
        <f t="shared" si="24"/>
        <v>34.311621093749999</v>
      </c>
      <c r="O44" s="32">
        <f t="shared" si="7"/>
        <v>2.7464174502520733E-6</v>
      </c>
      <c r="P44" s="32">
        <f t="shared" si="25"/>
        <v>9.8147281087069107E-4</v>
      </c>
      <c r="Q44" s="33">
        <f t="shared" si="19"/>
        <v>1309.415749191076</v>
      </c>
      <c r="R44" s="48">
        <f t="shared" si="20"/>
        <v>2625</v>
      </c>
      <c r="S44" s="32">
        <f t="shared" si="8"/>
        <v>34.311621093749999</v>
      </c>
      <c r="T44" s="32">
        <f t="shared" si="12"/>
        <v>6.6243650030828168E-6</v>
      </c>
      <c r="U44" s="32">
        <f t="shared" si="13"/>
        <v>2.4183218521460627E-3</v>
      </c>
      <c r="V44" s="33">
        <f t="shared" si="14"/>
        <v>1310.7990522965445</v>
      </c>
      <c r="W44" s="48">
        <f t="shared" si="21"/>
        <v>2625</v>
      </c>
      <c r="X44" s="32">
        <f t="shared" si="22"/>
        <v>26.137617187499998</v>
      </c>
      <c r="Y44" s="32">
        <f t="shared" si="15"/>
        <v>4.5680680047129611E-6</v>
      </c>
      <c r="Z44" s="32">
        <f t="shared" si="23"/>
        <v>1.6639618933270799E-3</v>
      </c>
      <c r="AA44" s="33">
        <f t="shared" si="16"/>
        <v>1310.6571239462785</v>
      </c>
    </row>
    <row r="45" spans="1:27" ht="24.75" customHeight="1" x14ac:dyDescent="0.65">
      <c r="A45" s="97" t="s">
        <v>46</v>
      </c>
      <c r="B45" s="98">
        <f>B43/(B44)</f>
        <v>0.56468381550924995</v>
      </c>
      <c r="C45" s="99" t="str">
        <f>IF(B45&lt;1, "OK","N.G.")</f>
        <v>OK</v>
      </c>
      <c r="D45" s="3"/>
      <c r="H45" s="48">
        <f t="shared" si="9"/>
        <v>3000</v>
      </c>
      <c r="I45" s="32">
        <f t="shared" si="5"/>
        <v>45.056249999999999</v>
      </c>
      <c r="J45" s="32">
        <f t="shared" si="6"/>
        <v>3.7684060681277425E-6</v>
      </c>
      <c r="K45" s="32">
        <f t="shared" si="10"/>
        <v>1.3718646629613323E-3</v>
      </c>
      <c r="L45" s="33">
        <f t="shared" si="11"/>
        <v>935.61900119863844</v>
      </c>
      <c r="M45" s="48">
        <f t="shared" si="17"/>
        <v>3000</v>
      </c>
      <c r="N45" s="32">
        <f t="shared" si="24"/>
        <v>36.196874999999999</v>
      </c>
      <c r="O45" s="32">
        <f t="shared" si="7"/>
        <v>2.9287424281193052E-6</v>
      </c>
      <c r="P45" s="32">
        <f t="shared" si="25"/>
        <v>1.0640924771946334E-3</v>
      </c>
      <c r="Q45" s="33">
        <f t="shared" si="19"/>
        <v>935.49207223040003</v>
      </c>
      <c r="R45" s="48">
        <f t="shared" si="20"/>
        <v>3000</v>
      </c>
      <c r="S45" s="32">
        <f t="shared" si="8"/>
        <v>36.196874999999999</v>
      </c>
      <c r="T45" s="32">
        <f t="shared" si="12"/>
        <v>6.8724107348131836E-6</v>
      </c>
      <c r="U45" s="32">
        <f t="shared" si="13"/>
        <v>2.5306454508554998E-3</v>
      </c>
      <c r="V45" s="33">
        <f t="shared" si="14"/>
        <v>936.35136579771267</v>
      </c>
      <c r="W45" s="48">
        <f t="shared" si="21"/>
        <v>3000</v>
      </c>
      <c r="X45" s="32">
        <f t="shared" si="22"/>
        <v>27.57375</v>
      </c>
      <c r="Y45" s="32">
        <f t="shared" si="15"/>
        <v>4.7505373468339016E-6</v>
      </c>
      <c r="Z45" s="32">
        <f t="shared" si="23"/>
        <v>1.7472385034150368E-3</v>
      </c>
      <c r="AA45" s="33">
        <f t="shared" si="16"/>
        <v>936.27617589195734</v>
      </c>
    </row>
    <row r="46" spans="1:27" ht="24.75" customHeight="1" x14ac:dyDescent="0.65">
      <c r="A46" s="10"/>
      <c r="B46" s="13"/>
      <c r="D46" s="3"/>
      <c r="H46" s="48">
        <f t="shared" si="9"/>
        <v>3375</v>
      </c>
      <c r="I46" s="32">
        <f t="shared" si="5"/>
        <v>46.464257812500001</v>
      </c>
      <c r="J46" s="32">
        <f t="shared" si="6"/>
        <v>3.8999308095932491E-6</v>
      </c>
      <c r="K46" s="32">
        <f t="shared" si="10"/>
        <v>1.437813164572686E-3</v>
      </c>
      <c r="L46" s="33">
        <f t="shared" si="11"/>
        <v>561.42802096821322</v>
      </c>
      <c r="M46" s="48">
        <f t="shared" si="17"/>
        <v>3375</v>
      </c>
      <c r="N46" s="32">
        <f t="shared" si="24"/>
        <v>37.328027343750001</v>
      </c>
      <c r="O46" s="32">
        <f t="shared" si="7"/>
        <v>3.0373960152001289E-6</v>
      </c>
      <c r="P46" s="32">
        <f t="shared" si="25"/>
        <v>1.118650958122394E-3</v>
      </c>
      <c r="Q46" s="33">
        <f t="shared" si="19"/>
        <v>561.36176808381708</v>
      </c>
      <c r="R46" s="48">
        <f t="shared" si="20"/>
        <v>3375</v>
      </c>
      <c r="S46" s="32">
        <f t="shared" si="8"/>
        <v>37.328027343750001</v>
      </c>
      <c r="T46" s="32">
        <f t="shared" si="12"/>
        <v>7.0203696783608488E-6</v>
      </c>
      <c r="U46" s="32">
        <f t="shared" si="13"/>
        <v>2.6048963274701311E-3</v>
      </c>
      <c r="V46" s="33">
        <f t="shared" si="14"/>
        <v>561.83437125638579</v>
      </c>
      <c r="W46" s="48">
        <f t="shared" si="21"/>
        <v>3375</v>
      </c>
      <c r="X46" s="32">
        <f t="shared" si="22"/>
        <v>28.435429687500001</v>
      </c>
      <c r="Y46" s="32">
        <f t="shared" si="15"/>
        <v>4.8585780011767492E-6</v>
      </c>
      <c r="Z46" s="32">
        <f t="shared" si="23"/>
        <v>1.801709127751997E-3</v>
      </c>
      <c r="AA46" s="33">
        <f t="shared" si="16"/>
        <v>561.79727756907141</v>
      </c>
    </row>
    <row r="47" spans="1:27" ht="24.75" customHeight="1" x14ac:dyDescent="0.65">
      <c r="A47" s="107" t="s">
        <v>130</v>
      </c>
      <c r="B47" s="107"/>
      <c r="C47" s="107"/>
      <c r="D47" s="3">
        <f>B41/D13/B8</f>
        <v>2.0106192982974676E-2</v>
      </c>
      <c r="E47" s="5"/>
      <c r="H47" s="48">
        <f t="shared" si="9"/>
        <v>3750</v>
      </c>
      <c r="I47" s="32">
        <f t="shared" si="5"/>
        <v>46.93359375</v>
      </c>
      <c r="J47" s="32">
        <f t="shared" si="6"/>
        <v>3.9436820545620033E-6</v>
      </c>
      <c r="K47" s="32">
        <f t="shared" si="10"/>
        <v>1.4706774120291097E-3</v>
      </c>
      <c r="L47" s="33">
        <f t="shared" si="11"/>
        <v>187.15137840713129</v>
      </c>
      <c r="M47" s="48">
        <f t="shared" si="17"/>
        <v>3750</v>
      </c>
      <c r="N47" s="32">
        <f t="shared" si="24"/>
        <v>37.705078125</v>
      </c>
      <c r="O47" s="32">
        <f t="shared" si="7"/>
        <v>3.0735014319484093E-6</v>
      </c>
      <c r="P47" s="32">
        <f t="shared" si="25"/>
        <v>1.145793271340351E-3</v>
      </c>
      <c r="Q47" s="33">
        <f t="shared" si="19"/>
        <v>187.13072714502505</v>
      </c>
      <c r="R47" s="48">
        <f t="shared" si="20"/>
        <v>3750</v>
      </c>
      <c r="S47" s="32">
        <f t="shared" si="8"/>
        <v>37.705078125</v>
      </c>
      <c r="T47" s="32">
        <f t="shared" si="12"/>
        <v>7.0695609689582051E-6</v>
      </c>
      <c r="U47" s="32">
        <f t="shared" si="13"/>
        <v>2.6418619963723224E-3</v>
      </c>
      <c r="V47" s="33">
        <f t="shared" si="14"/>
        <v>187.28179767244492</v>
      </c>
      <c r="W47" s="48">
        <f t="shared" si="21"/>
        <v>3750</v>
      </c>
      <c r="X47" s="32">
        <f t="shared" si="22"/>
        <v>28.72265625</v>
      </c>
      <c r="Y47" s="32">
        <f t="shared" si="15"/>
        <v>4.8943784833881868E-6</v>
      </c>
      <c r="Z47" s="32">
        <f t="shared" si="23"/>
        <v>1.8286793408559255E-3</v>
      </c>
      <c r="AA47" s="33">
        <f t="shared" si="16"/>
        <v>187.2705792964671</v>
      </c>
    </row>
    <row r="48" spans="1:27" ht="24.75" customHeight="1" thickBot="1" x14ac:dyDescent="0.5">
      <c r="A48" s="100" t="s">
        <v>11</v>
      </c>
      <c r="B48" s="95">
        <f>(B33^2*PI()/4/B32*((B9-20-C34/2-20)/((B9-20-C34/2-20)^2+(B32/2)^2)^0.5+(B32/2)/((B9-20-C34/2-20)^2+(B32/2)^2)^0.5))*D14</f>
        <v>1.3263873685278835</v>
      </c>
      <c r="C48" s="101" t="str">
        <f>IF(B48&lt;0.35*D13/B6, "Av/s is Less Than Minimum", "OK")</f>
        <v>OK</v>
      </c>
      <c r="D48" s="3"/>
      <c r="E48" s="5"/>
      <c r="H48" s="39" t="str">
        <f>"delta (D+SD+L)="</f>
        <v>delta (D+SD+L)=</v>
      </c>
      <c r="I48" s="35">
        <f>SUM(K38:K47)*H47-K38*L38-K39*L39-K40*L40-K41*L41-K42*L42-K43*L43-K44*L44-K45*L45-K46*L46-K47*L47</f>
        <v>22.411149934551197</v>
      </c>
      <c r="J48" s="35"/>
      <c r="K48" s="35"/>
      <c r="L48" s="36"/>
      <c r="M48" s="39" t="str">
        <f>"delta (D+SD+L)="</f>
        <v>delta (D+SD+L)=</v>
      </c>
      <c r="N48" s="35">
        <f>SUM(P38:P47)*M47-P38*Q38-P39*Q39-P40*Q40-P41*Q41-P42*Q42-P43*Q43-P44*Q44-P45*Q45-P46*Q46-P47*Q47</f>
        <v>17.240560766739474</v>
      </c>
      <c r="O48" s="35"/>
      <c r="P48" s="35"/>
      <c r="Q48" s="36"/>
      <c r="R48" s="39" t="str">
        <f>"delta (D+SD+L)="</f>
        <v>delta (D+SD+L)=</v>
      </c>
      <c r="S48" s="35">
        <f>SUM(U38:U47)*R47-U38*V38-U39*V39-U40*V40-U41*V41-U42*V42-U43*V43-U44*V44-U45*V45-U46*V46-U47*V47</f>
        <v>43.448705777878907</v>
      </c>
      <c r="T48" s="35"/>
      <c r="U48" s="35"/>
      <c r="V48" s="36"/>
      <c r="W48" s="57" t="str">
        <f>"delta (D+SD+L)="</f>
        <v>delta (D+SD+L)=</v>
      </c>
      <c r="X48" s="35">
        <f>SUM(Z38:Z47)*W47-Z38*AA38-Z39*AA39-Z40*AA40-Z41*AA41-Z42*AA42-Z43*AA43-Z44*AA44-Z45*AA45-Z46*AA46-Z47*AA47</f>
        <v>29.663479493510522</v>
      </c>
      <c r="Y48" s="35"/>
      <c r="Z48" s="35"/>
      <c r="AA48" s="36"/>
    </row>
    <row r="49" spans="1:19" ht="24.75" customHeight="1" x14ac:dyDescent="0.45">
      <c r="A49" s="100" t="s">
        <v>9</v>
      </c>
      <c r="B49" s="95">
        <f>MAX(B42*(B7-2*B9/1000)/2,D49+D50)</f>
        <v>30.310800000000004</v>
      </c>
      <c r="C49" s="96" t="s">
        <v>12</v>
      </c>
      <c r="D49" s="3">
        <f>D42*(B7-2*B9/1000)/2</f>
        <v>20.566800000000001</v>
      </c>
      <c r="E49" s="5"/>
    </row>
    <row r="50" spans="1:19" ht="24.75" customHeight="1" x14ac:dyDescent="0.45">
      <c r="A50" s="100" t="s">
        <v>31</v>
      </c>
      <c r="B50" s="95">
        <f>0.75*(1.1*B4^0.5*0.17*(D13*B9)/1000)</f>
        <v>33.869721655189323</v>
      </c>
      <c r="C50" s="96" t="s">
        <v>12</v>
      </c>
      <c r="D50" s="3">
        <f>1.6*B18/2</f>
        <v>1.04</v>
      </c>
    </row>
    <row r="51" spans="1:19" ht="24.75" customHeight="1" thickBot="1" x14ac:dyDescent="0.5">
      <c r="A51" s="100" t="s">
        <v>32</v>
      </c>
      <c r="B51" s="95">
        <f>0.75*(B48*B6*B9/1000)</f>
        <v>80.578032638068919</v>
      </c>
      <c r="C51" s="96" t="s">
        <v>12</v>
      </c>
      <c r="D51" s="63"/>
    </row>
    <row r="52" spans="1:19" ht="24.75" customHeight="1" thickBot="1" x14ac:dyDescent="0.5">
      <c r="A52" s="100" t="s">
        <v>22</v>
      </c>
      <c r="B52" s="95">
        <f>(B50+B51)</f>
        <v>114.44775429325824</v>
      </c>
      <c r="C52" s="96" t="s">
        <v>12</v>
      </c>
      <c r="D52" s="5"/>
      <c r="L52" s="117" t="str">
        <f t="shared" ref="L52:L65" si="26">I4</f>
        <v>مقطع ترک نخورده قبل از گذر زمان</v>
      </c>
      <c r="M52" s="118"/>
      <c r="N52" s="118"/>
      <c r="O52" s="119"/>
      <c r="P52" s="120" t="str">
        <f t="shared" ref="P52:P65" si="27">M4</f>
        <v>مقطع ترک خورده قبل از گذر زمان</v>
      </c>
      <c r="Q52" s="121"/>
      <c r="R52" s="121"/>
      <c r="S52" s="122"/>
    </row>
    <row r="53" spans="1:19" ht="24.75" customHeight="1" x14ac:dyDescent="0.45">
      <c r="A53" s="97" t="s">
        <v>47</v>
      </c>
      <c r="B53" s="98">
        <f>B49/B52</f>
        <v>0.26484399092997774</v>
      </c>
      <c r="C53" s="99" t="str">
        <f>IF(B53&lt;1, "OK","N.G.")</f>
        <v>OK</v>
      </c>
      <c r="D53" s="5"/>
      <c r="L53" s="28" t="str">
        <f t="shared" si="26"/>
        <v>Ec</v>
      </c>
      <c r="M53" s="29">
        <f t="shared" ref="M53:M65" si="28">J5</f>
        <v>21019.038988498025</v>
      </c>
      <c r="N53" s="29">
        <f t="shared" ref="N53:N65" si="29">K5</f>
        <v>0</v>
      </c>
      <c r="O53" s="30">
        <f t="shared" ref="O53:O65" si="30">L5</f>
        <v>0</v>
      </c>
      <c r="P53" s="28" t="str">
        <f t="shared" si="27"/>
        <v>Ec</v>
      </c>
      <c r="Q53" s="29">
        <f t="shared" ref="Q53:Q65" si="31">N5</f>
        <v>21019.038988498025</v>
      </c>
      <c r="R53" s="29">
        <f t="shared" ref="R53:R65" si="32">O5</f>
        <v>0</v>
      </c>
      <c r="S53" s="30">
        <f t="shared" ref="S53:S65" si="33">P5</f>
        <v>0</v>
      </c>
    </row>
    <row r="54" spans="1:19" ht="24.75" customHeight="1" x14ac:dyDescent="0.45">
      <c r="L54" s="31" t="str">
        <f t="shared" si="26"/>
        <v>n=Es/Ec</v>
      </c>
      <c r="M54" s="32">
        <f t="shared" si="28"/>
        <v>9.5151828829778271</v>
      </c>
      <c r="N54" s="32">
        <f t="shared" si="29"/>
        <v>0</v>
      </c>
      <c r="O54" s="33">
        <f t="shared" si="30"/>
        <v>0</v>
      </c>
      <c r="P54" s="31" t="str">
        <f t="shared" si="27"/>
        <v>n=Es/Ec</v>
      </c>
      <c r="Q54" s="32">
        <f t="shared" si="31"/>
        <v>9.5151828829778271</v>
      </c>
      <c r="R54" s="32">
        <f t="shared" si="32"/>
        <v>0</v>
      </c>
      <c r="S54" s="33">
        <f t="shared" si="33"/>
        <v>0</v>
      </c>
    </row>
    <row r="55" spans="1:19" ht="24.75" customHeight="1" x14ac:dyDescent="0.45">
      <c r="A55" s="107" t="s">
        <v>134</v>
      </c>
      <c r="B55" s="107"/>
      <c r="C55" s="107"/>
      <c r="L55" s="31" t="str">
        <f t="shared" si="26"/>
        <v>Aw,Yw,Iw</v>
      </c>
      <c r="M55" s="32">
        <f t="shared" si="28"/>
        <v>60000</v>
      </c>
      <c r="N55" s="32">
        <f t="shared" si="29"/>
        <v>150</v>
      </c>
      <c r="O55" s="33">
        <f t="shared" si="30"/>
        <v>450000000</v>
      </c>
      <c r="P55" s="31" t="str">
        <f t="shared" si="27"/>
        <v>nAs</v>
      </c>
      <c r="Q55" s="32">
        <f t="shared" si="31"/>
        <v>11478.846198806972</v>
      </c>
      <c r="R55" s="32">
        <f t="shared" si="32"/>
        <v>0</v>
      </c>
      <c r="S55" s="33">
        <f t="shared" si="33"/>
        <v>0</v>
      </c>
    </row>
    <row r="56" spans="1:19" ht="24.75" customHeight="1" x14ac:dyDescent="0.45">
      <c r="A56" s="94" t="s">
        <v>4</v>
      </c>
      <c r="B56" s="95">
        <f>B22</f>
        <v>12.442857142857143</v>
      </c>
      <c r="C56" s="96" t="s">
        <v>45</v>
      </c>
      <c r="L56" s="31" t="str">
        <f t="shared" si="26"/>
        <v>Af</v>
      </c>
      <c r="M56" s="32">
        <f t="shared" si="28"/>
        <v>25000</v>
      </c>
      <c r="N56" s="32">
        <f t="shared" si="29"/>
        <v>25</v>
      </c>
      <c r="O56" s="33">
        <f t="shared" si="30"/>
        <v>5208333.333333333</v>
      </c>
      <c r="P56" s="31" t="str">
        <f t="shared" si="27"/>
        <v>(n-1)*A's</v>
      </c>
      <c r="Q56" s="32">
        <f t="shared" si="31"/>
        <v>3049.6409027615832</v>
      </c>
      <c r="R56" s="32">
        <f t="shared" si="32"/>
        <v>0</v>
      </c>
      <c r="S56" s="33">
        <f t="shared" si="33"/>
        <v>0</v>
      </c>
    </row>
    <row r="57" spans="1:19" ht="24.75" customHeight="1" x14ac:dyDescent="0.45">
      <c r="A57" s="94" t="s">
        <v>6</v>
      </c>
      <c r="B57" s="95">
        <f>B56*(B12/1000)^2/8</f>
        <v>0.38883928571428572</v>
      </c>
      <c r="C57" s="96" t="s">
        <v>7</v>
      </c>
      <c r="L57" s="31" t="str">
        <f t="shared" si="26"/>
        <v>(n-1)*As</v>
      </c>
      <c r="M57" s="32">
        <f t="shared" si="28"/>
        <v>10272.474619828492</v>
      </c>
      <c r="N57" s="32">
        <f t="shared" si="29"/>
        <v>270</v>
      </c>
      <c r="O57" s="33">
        <f t="shared" si="30"/>
        <v>0</v>
      </c>
      <c r="P57" s="31" t="str">
        <f t="shared" si="27"/>
        <v>B</v>
      </c>
      <c r="Q57" s="32">
        <f t="shared" si="31"/>
        <v>6.0981738745898774E-2</v>
      </c>
      <c r="R57" s="32" t="str">
        <f t="shared" si="32"/>
        <v>C</v>
      </c>
      <c r="S57" s="33">
        <f t="shared" si="33"/>
        <v>1.7423353927399649E-2</v>
      </c>
    </row>
    <row r="58" spans="1:19" ht="24.75" customHeight="1" x14ac:dyDescent="0.45">
      <c r="A58" s="94" t="s">
        <v>19</v>
      </c>
      <c r="B58" s="95">
        <f>0.6*0.42*B4^0.5*1000*B11^2/6/10^6</f>
        <v>0.46957427527495588</v>
      </c>
      <c r="C58" s="96" t="s">
        <v>7</v>
      </c>
      <c r="L58" s="31" t="str">
        <f t="shared" si="26"/>
        <v>(n-1)*A's</v>
      </c>
      <c r="M58" s="32">
        <f t="shared" si="28"/>
        <v>3049.6409027615832</v>
      </c>
      <c r="N58" s="32">
        <f t="shared" si="29"/>
        <v>30</v>
      </c>
      <c r="O58" s="33">
        <f t="shared" si="30"/>
        <v>0</v>
      </c>
      <c r="P58" s="31" t="str">
        <f t="shared" si="27"/>
        <v>r</v>
      </c>
      <c r="Q58" s="32">
        <f t="shared" si="31"/>
        <v>0.26567486400144824</v>
      </c>
      <c r="R58" s="32" t="str">
        <f t="shared" si="32"/>
        <v>f</v>
      </c>
      <c r="S58" s="33">
        <f t="shared" si="33"/>
        <v>2.1779192409249561</v>
      </c>
    </row>
    <row r="59" spans="1:19" ht="24.75" customHeight="1" x14ac:dyDescent="0.45">
      <c r="A59" s="97" t="s">
        <v>46</v>
      </c>
      <c r="B59" s="98">
        <f>B57/(B58)</f>
        <v>0.8280676906472435</v>
      </c>
      <c r="C59" s="99" t="str">
        <f>IF(B59&lt;1, "OK","N.G.")</f>
        <v>OK</v>
      </c>
      <c r="L59" s="31" t="str">
        <f t="shared" si="26"/>
        <v>Y (from top)</v>
      </c>
      <c r="M59" s="32">
        <f t="shared" si="28"/>
        <v>127.0320243624831</v>
      </c>
      <c r="N59" s="32">
        <f t="shared" si="29"/>
        <v>0</v>
      </c>
      <c r="O59" s="33">
        <f t="shared" si="30"/>
        <v>0</v>
      </c>
      <c r="P59" s="31" t="str">
        <f t="shared" si="27"/>
        <v>Y (from top)</v>
      </c>
      <c r="Q59" s="32">
        <f t="shared" si="31"/>
        <v>76.955186661691798</v>
      </c>
      <c r="R59" s="32" t="str">
        <f t="shared" si="32"/>
        <v>Y(from top)</v>
      </c>
      <c r="S59" s="33">
        <f t="shared" si="33"/>
        <v>80.242989300798627</v>
      </c>
    </row>
    <row r="60" spans="1:19" ht="24.75" customHeight="1" thickBot="1" x14ac:dyDescent="0.5">
      <c r="L60" s="34" t="str">
        <f t="shared" si="26"/>
        <v>I</v>
      </c>
      <c r="M60" s="35">
        <f t="shared" si="28"/>
        <v>985804137.25308156</v>
      </c>
      <c r="N60" s="35">
        <f t="shared" si="29"/>
        <v>0</v>
      </c>
      <c r="O60" s="36">
        <f t="shared" si="30"/>
        <v>0</v>
      </c>
      <c r="P60" s="31" t="str">
        <f t="shared" si="27"/>
        <v>I</v>
      </c>
      <c r="Q60" s="32">
        <f t="shared" si="31"/>
        <v>540836428.10172319</v>
      </c>
      <c r="R60" s="37" t="str">
        <f t="shared" si="32"/>
        <v>I</v>
      </c>
      <c r="S60" s="33">
        <f t="shared" si="33"/>
        <v>536973836.17466378</v>
      </c>
    </row>
    <row r="61" spans="1:19" ht="24.75" customHeight="1" x14ac:dyDescent="0.45">
      <c r="A61" s="108" t="s">
        <v>133</v>
      </c>
      <c r="B61" s="109"/>
      <c r="C61" s="110"/>
      <c r="L61" s="31" t="str">
        <f t="shared" si="26"/>
        <v>fr</v>
      </c>
      <c r="M61" s="32">
        <f t="shared" si="28"/>
        <v>2.7727242920997393</v>
      </c>
      <c r="N61" s="32">
        <f t="shared" si="29"/>
        <v>0</v>
      </c>
      <c r="O61" s="33">
        <f t="shared" si="30"/>
        <v>0</v>
      </c>
      <c r="P61" s="31">
        <f t="shared" si="27"/>
        <v>0</v>
      </c>
      <c r="Q61" s="32" t="str">
        <f t="shared" si="31"/>
        <v>Y (from Top)</v>
      </c>
      <c r="R61" s="32">
        <f t="shared" si="32"/>
        <v>80.242989300798627</v>
      </c>
      <c r="S61" s="33">
        <f t="shared" si="33"/>
        <v>0</v>
      </c>
    </row>
    <row r="62" spans="1:19" ht="24.75" customHeight="1" thickBot="1" x14ac:dyDescent="0.5">
      <c r="A62" s="19" t="s">
        <v>135</v>
      </c>
      <c r="B62" s="20">
        <f>1.6*B18</f>
        <v>2.08</v>
      </c>
      <c r="C62" s="15" t="s">
        <v>12</v>
      </c>
      <c r="L62" s="34" t="str">
        <f t="shared" si="26"/>
        <v>Mcr</v>
      </c>
      <c r="M62" s="35">
        <f t="shared" si="28"/>
        <v>15.802711851945707</v>
      </c>
      <c r="N62" s="35" t="str">
        <f t="shared" si="29"/>
        <v>kN.m</v>
      </c>
      <c r="O62" s="36">
        <f t="shared" si="30"/>
        <v>0</v>
      </c>
      <c r="P62" s="34">
        <f t="shared" si="27"/>
        <v>0</v>
      </c>
      <c r="Q62" s="35" t="str">
        <f t="shared" si="31"/>
        <v>I=</v>
      </c>
      <c r="R62" s="35">
        <f t="shared" si="32"/>
        <v>536973836.17466378</v>
      </c>
      <c r="S62" s="36">
        <f t="shared" si="33"/>
        <v>0</v>
      </c>
    </row>
    <row r="63" spans="1:19" ht="15" x14ac:dyDescent="0.45">
      <c r="A63" s="19" t="s">
        <v>22</v>
      </c>
      <c r="B63" s="20">
        <f>0.6*0.22*B4^0.5*4*(B19+B11)*B11/10^3</f>
        <v>20.070946166038116</v>
      </c>
      <c r="C63" s="15" t="s">
        <v>12</v>
      </c>
      <c r="L63" s="54" t="str">
        <f t="shared" si="26"/>
        <v>M-D</v>
      </c>
      <c r="M63" s="29">
        <f t="shared" si="28"/>
        <v>14.94140625</v>
      </c>
      <c r="N63" s="29" t="str">
        <f t="shared" si="29"/>
        <v>kN.m</v>
      </c>
      <c r="O63" s="30">
        <f t="shared" si="30"/>
        <v>0</v>
      </c>
      <c r="P63">
        <f t="shared" si="27"/>
        <v>0</v>
      </c>
      <c r="Q63">
        <f t="shared" si="31"/>
        <v>0</v>
      </c>
      <c r="R63">
        <f t="shared" si="32"/>
        <v>0</v>
      </c>
      <c r="S63">
        <f t="shared" si="33"/>
        <v>0</v>
      </c>
    </row>
    <row r="64" spans="1:19" ht="15" x14ac:dyDescent="0.45">
      <c r="A64" s="11" t="s">
        <v>46</v>
      </c>
      <c r="B64" s="12">
        <f>B62/(B63)</f>
        <v>0.10363238398394746</v>
      </c>
      <c r="C64" s="16" t="str">
        <f>IF(B64&lt;1, "OK","N.G.")</f>
        <v>OK</v>
      </c>
      <c r="L64" s="55" t="str">
        <f t="shared" si="26"/>
        <v>M-SD+M-P</v>
      </c>
      <c r="M64" s="32">
        <f t="shared" si="28"/>
        <v>19.6875</v>
      </c>
      <c r="N64" s="32">
        <f t="shared" si="29"/>
        <v>0</v>
      </c>
      <c r="O64" s="33">
        <f t="shared" si="30"/>
        <v>0</v>
      </c>
      <c r="P64">
        <f t="shared" si="27"/>
        <v>0</v>
      </c>
      <c r="Q64">
        <f t="shared" si="31"/>
        <v>0</v>
      </c>
      <c r="R64">
        <f t="shared" si="32"/>
        <v>0</v>
      </c>
      <c r="S64">
        <f t="shared" si="33"/>
        <v>0</v>
      </c>
    </row>
    <row r="65" spans="1:19" ht="14.65" thickBot="1" x14ac:dyDescent="0.5">
      <c r="L65" s="56" t="str">
        <f t="shared" si="26"/>
        <v>M-L</v>
      </c>
      <c r="M65" s="35">
        <f t="shared" si="28"/>
        <v>12.3046875</v>
      </c>
      <c r="N65" s="35">
        <f t="shared" si="29"/>
        <v>0</v>
      </c>
      <c r="O65" s="36">
        <f t="shared" si="30"/>
        <v>0</v>
      </c>
      <c r="P65">
        <f t="shared" si="27"/>
        <v>0</v>
      </c>
      <c r="Q65" s="5">
        <f t="shared" si="31"/>
        <v>0</v>
      </c>
      <c r="R65" s="5">
        <f t="shared" si="32"/>
        <v>0</v>
      </c>
      <c r="S65">
        <f t="shared" si="33"/>
        <v>0</v>
      </c>
    </row>
    <row r="68" spans="1:19" ht="17.25" x14ac:dyDescent="0.45">
      <c r="A68" s="75" t="s">
        <v>121</v>
      </c>
      <c r="B68" s="81">
        <v>5</v>
      </c>
      <c r="C68" s="76"/>
      <c r="D68" s="5"/>
    </row>
    <row r="69" spans="1:19" ht="25.5" x14ac:dyDescent="0.7">
      <c r="A69" s="79" t="s">
        <v>114</v>
      </c>
      <c r="B69" s="81">
        <v>5.62E-4</v>
      </c>
      <c r="C69" s="76"/>
      <c r="D69" s="5"/>
    </row>
    <row r="70" spans="1:19" ht="22.9" x14ac:dyDescent="0.65">
      <c r="A70" s="79" t="s">
        <v>115</v>
      </c>
      <c r="B70" s="81">
        <v>1.4</v>
      </c>
      <c r="C70" s="76"/>
      <c r="D70" s="5"/>
    </row>
    <row r="71" spans="1:19" ht="25.5" x14ac:dyDescent="0.7">
      <c r="A71" s="79" t="s">
        <v>116</v>
      </c>
      <c r="B71" s="81">
        <v>7.7999999999999999E-4</v>
      </c>
      <c r="C71" s="76"/>
      <c r="D71" s="5"/>
    </row>
    <row r="72" spans="1:19" ht="22.9" x14ac:dyDescent="0.65">
      <c r="A72" s="79" t="s">
        <v>117</v>
      </c>
      <c r="B72" s="81">
        <v>2.35</v>
      </c>
      <c r="C72" s="76"/>
      <c r="D72" s="5"/>
    </row>
    <row r="73" spans="1:19" ht="23.25" thickBot="1" x14ac:dyDescent="0.7">
      <c r="A73" s="80" t="s">
        <v>118</v>
      </c>
      <c r="B73" s="81">
        <v>0.8</v>
      </c>
      <c r="C73" s="76"/>
      <c r="D73" s="5"/>
    </row>
    <row r="74" spans="1:19" ht="15.4" thickBot="1" x14ac:dyDescent="0.5">
      <c r="A74" s="10"/>
      <c r="B74" s="13"/>
      <c r="I74" s="120" t="s">
        <v>119</v>
      </c>
      <c r="J74" s="118"/>
      <c r="K74" s="118"/>
      <c r="L74" s="119"/>
      <c r="M74" s="120" t="s">
        <v>120</v>
      </c>
      <c r="N74" s="121"/>
      <c r="O74" s="121"/>
      <c r="P74" s="122"/>
    </row>
    <row r="75" spans="1:19" ht="15" x14ac:dyDescent="0.45">
      <c r="A75" s="72" t="s">
        <v>105</v>
      </c>
      <c r="B75" s="60">
        <f>I48</f>
        <v>22.411149934551197</v>
      </c>
      <c r="C75" s="87" t="s">
        <v>3</v>
      </c>
      <c r="I75" s="28" t="s">
        <v>58</v>
      </c>
      <c r="J75" s="29">
        <f>4700*B4^0.5*1.25</f>
        <v>26273.798735622531</v>
      </c>
      <c r="K75" s="29"/>
      <c r="L75" s="30"/>
      <c r="M75" s="28" t="s">
        <v>58</v>
      </c>
      <c r="N75" s="29">
        <f>J75</f>
        <v>26273.798735622531</v>
      </c>
      <c r="O75" s="29"/>
      <c r="P75" s="30"/>
    </row>
    <row r="76" spans="1:19" ht="15" x14ac:dyDescent="0.45">
      <c r="A76" s="72" t="s">
        <v>106</v>
      </c>
      <c r="B76" s="60">
        <f>N48</f>
        <v>17.240560766739474</v>
      </c>
      <c r="C76" s="87" t="s">
        <v>3</v>
      </c>
      <c r="I76" s="31" t="s">
        <v>59</v>
      </c>
      <c r="J76" s="32">
        <f>200000/J75</f>
        <v>7.6121463063822619</v>
      </c>
      <c r="K76" s="32"/>
      <c r="L76" s="33"/>
      <c r="M76" s="31" t="s">
        <v>59</v>
      </c>
      <c r="N76" s="32">
        <f>J76</f>
        <v>7.6121463063822619</v>
      </c>
      <c r="O76" s="32"/>
      <c r="P76" s="33"/>
    </row>
    <row r="77" spans="1:19" ht="15" x14ac:dyDescent="0.45">
      <c r="A77" s="72" t="s">
        <v>107</v>
      </c>
      <c r="B77" s="60">
        <f>S48</f>
        <v>43.448705777878907</v>
      </c>
      <c r="C77" s="87" t="s">
        <v>3</v>
      </c>
      <c r="I77" s="31" t="s">
        <v>61</v>
      </c>
      <c r="J77" s="32">
        <f>D13*B8</f>
        <v>60000</v>
      </c>
      <c r="K77" s="32">
        <f>B8/2</f>
        <v>150</v>
      </c>
      <c r="L77" s="33">
        <f>D13*B8^3/12</f>
        <v>450000000</v>
      </c>
      <c r="M77" s="31" t="s">
        <v>65</v>
      </c>
      <c r="N77" s="32">
        <f>N76*B41</f>
        <v>9183.0769590455784</v>
      </c>
      <c r="O77" s="32"/>
      <c r="P77" s="33"/>
    </row>
    <row r="78" spans="1:19" ht="15" x14ac:dyDescent="0.45">
      <c r="A78" s="72" t="s">
        <v>108</v>
      </c>
      <c r="B78" s="60">
        <f>X48</f>
        <v>29.663479493510522</v>
      </c>
      <c r="C78" s="87" t="s">
        <v>3</v>
      </c>
      <c r="I78" s="31" t="s">
        <v>55</v>
      </c>
      <c r="J78" s="32">
        <f>(E13-D13)*B11</f>
        <v>25000</v>
      </c>
      <c r="K78" s="32">
        <f>B11/2</f>
        <v>25</v>
      </c>
      <c r="L78" s="33">
        <f>(E13-D13)*B11^3/12</f>
        <v>5208333.333333333</v>
      </c>
      <c r="M78" s="31" t="s">
        <v>57</v>
      </c>
      <c r="N78" s="32">
        <f>(N76-1)*B36</f>
        <v>2368.0844097074196</v>
      </c>
      <c r="O78" s="32"/>
      <c r="P78" s="33"/>
    </row>
    <row r="79" spans="1:19" ht="15" x14ac:dyDescent="0.45">
      <c r="A79" s="72" t="s">
        <v>33</v>
      </c>
      <c r="B79" s="60">
        <f>B77-B78+B75-B76</f>
        <v>18.955815452180108</v>
      </c>
      <c r="C79" s="87" t="s">
        <v>3</v>
      </c>
      <c r="I79" s="31" t="s">
        <v>56</v>
      </c>
      <c r="J79" s="32">
        <f>(J76-1)*B41</f>
        <v>7976.7053800670974</v>
      </c>
      <c r="K79" s="32">
        <f>B9</f>
        <v>270</v>
      </c>
      <c r="L79" s="33">
        <v>0</v>
      </c>
      <c r="M79" s="31" t="s">
        <v>64</v>
      </c>
      <c r="N79" s="32">
        <f>$E$13/N77</f>
        <v>7.6227173432373466E-2</v>
      </c>
      <c r="O79" s="32" t="s">
        <v>24</v>
      </c>
      <c r="P79" s="33">
        <f>$D$13/N77</f>
        <v>2.1779192409249561E-2</v>
      </c>
    </row>
    <row r="80" spans="1:19" ht="15" x14ac:dyDescent="0.45">
      <c r="A80" s="72" t="s">
        <v>34</v>
      </c>
      <c r="B80" s="60">
        <f>I48-N48</f>
        <v>5.1705891678117233</v>
      </c>
      <c r="C80" s="87" t="s">
        <v>3</v>
      </c>
      <c r="I80" s="31" t="s">
        <v>57</v>
      </c>
      <c r="J80" s="32">
        <f>(J76-1)*B36</f>
        <v>2368.0844097074196</v>
      </c>
      <c r="K80" s="32">
        <f>B10</f>
        <v>30</v>
      </c>
      <c r="L80" s="33">
        <v>0</v>
      </c>
      <c r="M80" s="31" t="s">
        <v>26</v>
      </c>
      <c r="N80" s="32">
        <f>N78/N77</f>
        <v>0.25787483000181027</v>
      </c>
      <c r="O80" s="32" t="s">
        <v>25</v>
      </c>
      <c r="P80" s="33">
        <f>$B$11*($E$13-$D$13)/N77</f>
        <v>2.7223990511561951</v>
      </c>
    </row>
    <row r="81" spans="1:16" x14ac:dyDescent="0.45">
      <c r="I81" s="31" t="s">
        <v>62</v>
      </c>
      <c r="J81" s="32">
        <f>(J77*K77+J78*K78+J79*K79+J80*K80)/SUM(J77:J80)</f>
        <v>124.28317279881605</v>
      </c>
      <c r="K81" s="32"/>
      <c r="L81" s="33"/>
      <c r="M81" s="31" t="s">
        <v>62</v>
      </c>
      <c r="N81" s="32">
        <f>((2*$B$9*N79*(1+N80*$B$10/$B$9)+(1+N80)^2)^0.5-(1+N80))/N79</f>
        <v>70.442986260297829</v>
      </c>
      <c r="O81" s="32" t="s">
        <v>66</v>
      </c>
      <c r="P81" s="33">
        <f>((P79*(2*$B$9+$B$11*P80+2*N80*$B$10)+(P80+N80+1)^2)^0.5-(P80+N80+1))/P79</f>
        <v>72.497827895195854</v>
      </c>
    </row>
    <row r="82" spans="1:16" ht="17.649999999999999" thickBot="1" x14ac:dyDescent="0.5">
      <c r="A82" s="71" t="s">
        <v>14</v>
      </c>
      <c r="B82" s="93">
        <f>B7*1000/240</f>
        <v>31.25</v>
      </c>
      <c r="C82" s="93">
        <f>B79/B82</f>
        <v>0.60658609446976341</v>
      </c>
      <c r="D82" s="21" t="str">
        <f>IF(B79&lt;B82,"OK","NG")</f>
        <v>OK</v>
      </c>
      <c r="I82" s="34" t="s">
        <v>60</v>
      </c>
      <c r="J82" s="35">
        <f>L77+J77*(J81-K77)^2+L78+J78*(J81-K78)^2+J79*(J81-K79)^2+J80*(J81-K80)^2</f>
        <v>931741533.66218758</v>
      </c>
      <c r="K82" s="35"/>
      <c r="L82" s="36"/>
      <c r="M82" s="31" t="s">
        <v>60</v>
      </c>
      <c r="N82" s="32">
        <f>$E$13*N81^3/3+N77*($B$9-N81)^2+N78*(N81-$B$10)^2</f>
        <v>451133423.81548643</v>
      </c>
      <c r="O82" s="37" t="s">
        <v>60</v>
      </c>
      <c r="P82" s="33">
        <f>($E$13-$D$13)*$B$11^3/12+$D$13*P81^3/3+($E$13-$D$13)*$B$11*(P81-$B$11/2)^2+N77*($B$9-P81)^2+N78*(P81-$B$10)^2</f>
        <v>449494539.52461225</v>
      </c>
    </row>
    <row r="83" spans="1:16" ht="17.25" x14ac:dyDescent="0.45">
      <c r="A83" s="71" t="s">
        <v>35</v>
      </c>
      <c r="B83" s="93">
        <f>B7*1000/480</f>
        <v>15.625</v>
      </c>
      <c r="C83" s="93">
        <f>B79/B83</f>
        <v>1.2131721889395268</v>
      </c>
      <c r="D83" s="22" t="str">
        <f>IF(B79&lt;B83,"OK","NG")</f>
        <v>NG</v>
      </c>
      <c r="I83" s="31" t="s">
        <v>69</v>
      </c>
      <c r="J83" s="32">
        <f>0.62*B4^0.5</f>
        <v>2.7727242920997393</v>
      </c>
      <c r="K83" s="32"/>
      <c r="L83" s="33"/>
      <c r="M83" s="31"/>
      <c r="N83" s="32" t="s">
        <v>68</v>
      </c>
      <c r="O83" s="32">
        <f>IF(N81&lt;B11,N81,P81)</f>
        <v>72.497827895195854</v>
      </c>
      <c r="P83" s="33"/>
    </row>
    <row r="84" spans="1:16" ht="17.649999999999999" thickBot="1" x14ac:dyDescent="0.5">
      <c r="A84" s="71" t="s">
        <v>36</v>
      </c>
      <c r="B84" s="93">
        <f>B7*1000/360</f>
        <v>20.833333333333332</v>
      </c>
      <c r="C84" s="93">
        <f>B80/B84</f>
        <v>0.24818828005496274</v>
      </c>
      <c r="D84" s="22" t="str">
        <f>IF(B80&lt;B84,"OK","NG")</f>
        <v>OK</v>
      </c>
      <c r="I84" s="34" t="s">
        <v>70</v>
      </c>
      <c r="J84" s="35">
        <f>J83*J82/(B8-J81)/10^6</f>
        <v>14.702418803553309</v>
      </c>
      <c r="K84" s="35" t="s">
        <v>7</v>
      </c>
      <c r="L84" s="36"/>
      <c r="M84" s="34"/>
      <c r="N84" s="35" t="s">
        <v>67</v>
      </c>
      <c r="O84" s="35">
        <f>IF(N81&lt;B11,N82,P82)</f>
        <v>449494539.52461225</v>
      </c>
      <c r="P84" s="36"/>
    </row>
    <row r="85" spans="1:16" ht="17.25" x14ac:dyDescent="0.45">
      <c r="A85" s="71" t="s">
        <v>113</v>
      </c>
      <c r="B85" s="93">
        <f>18/N118^0.5</f>
        <v>4.8494060927232052</v>
      </c>
      <c r="C85" s="93">
        <f>B68/B85</f>
        <v>1.0310540928924821</v>
      </c>
      <c r="D85" s="21" t="str">
        <f>IF(C85&lt;1,"OK","NG")</f>
        <v>NG</v>
      </c>
      <c r="I85" s="54" t="s">
        <v>71</v>
      </c>
      <c r="J85" s="67">
        <f>E13/1000*B20*B$7^2/8</f>
        <v>14.94140625</v>
      </c>
      <c r="K85" s="29" t="s">
        <v>7</v>
      </c>
      <c r="L85" s="30"/>
    </row>
    <row r="86" spans="1:16" x14ac:dyDescent="0.45">
      <c r="I86" s="55" t="s">
        <v>72</v>
      </c>
      <c r="J86" s="32">
        <f>E13/1000*B17*B7^2/8</f>
        <v>14.765624999999998</v>
      </c>
      <c r="K86" s="32"/>
      <c r="L86" s="33"/>
    </row>
    <row r="87" spans="1:16" ht="14.65" thickBot="1" x14ac:dyDescent="0.5">
      <c r="I87" s="56" t="s">
        <v>73</v>
      </c>
      <c r="J87" s="35">
        <f>E13/1000*B15*B7^2/8</f>
        <v>12.3046875</v>
      </c>
      <c r="K87" s="35"/>
      <c r="L87" s="36"/>
    </row>
    <row r="97" spans="13:17" ht="14.65" thickBot="1" x14ac:dyDescent="0.5"/>
    <row r="98" spans="13:17" ht="15.4" thickBot="1" x14ac:dyDescent="0.5">
      <c r="M98" s="117" t="str">
        <f>"CASE2: D+SD+"&amp;B$24&amp;"*Live    (without Creep)"</f>
        <v>CASE2: D+SD+0.25*Live    (without Creep)</v>
      </c>
      <c r="N98" s="118"/>
      <c r="O98" s="119"/>
    </row>
    <row r="99" spans="13:17" ht="15" x14ac:dyDescent="0.45">
      <c r="M99" s="62" t="str">
        <f>"Ma-(D+SD+"&amp;B$24&amp;"L)="</f>
        <v>Ma-(D+SD+0.25L)=</v>
      </c>
      <c r="N99" s="32">
        <f>J85+J86+B24*J87</f>
        <v>32.783203125</v>
      </c>
      <c r="O99" s="33" t="s">
        <v>7</v>
      </c>
      <c r="P99" s="37"/>
    </row>
    <row r="100" spans="13:17" ht="22.9" x14ac:dyDescent="0.65">
      <c r="M100" s="38" t="s">
        <v>74</v>
      </c>
      <c r="N100" s="32">
        <f>MAX(0,1-(J84/N99)^2)</f>
        <v>0.798870946418198</v>
      </c>
      <c r="O100" s="33"/>
    </row>
    <row r="101" spans="13:17" ht="22.9" x14ac:dyDescent="0.65">
      <c r="M101" s="38" t="s">
        <v>76</v>
      </c>
      <c r="N101" s="32">
        <f>(N99*10^6/J75/J82)</f>
        <v>1.3391618252676566E-6</v>
      </c>
      <c r="O101" s="33"/>
    </row>
    <row r="102" spans="13:17" ht="22.9" x14ac:dyDescent="0.65">
      <c r="M102" s="38" t="s">
        <v>77</v>
      </c>
      <c r="N102" s="32">
        <f>N99*10^6/N75/O84</f>
        <v>2.7759017811793012E-6</v>
      </c>
      <c r="O102" s="33"/>
    </row>
    <row r="103" spans="13:17" ht="22.9" x14ac:dyDescent="0.65">
      <c r="M103" s="38" t="s">
        <v>78</v>
      </c>
      <c r="N103" s="32">
        <f>IF(N99&lt;J$84,(N99*10^6/J$75/J$12),N100*N102+(1-N100)*N101)</f>
        <v>2.4869316336036318E-6</v>
      </c>
      <c r="O103" s="33"/>
    </row>
    <row r="104" spans="13:17" ht="15.4" thickBot="1" x14ac:dyDescent="0.5">
      <c r="M104" s="39" t="str">
        <f>"delta (D+SD+L)="</f>
        <v>delta (D+SD+L)=</v>
      </c>
      <c r="N104" s="35">
        <f>5/48*N103*(B7*1000)^2</f>
        <v>14.57186504064628</v>
      </c>
      <c r="O104" s="36" t="s">
        <v>3</v>
      </c>
    </row>
    <row r="106" spans="13:17" ht="14.65" thickBot="1" x14ac:dyDescent="0.5"/>
    <row r="107" spans="13:17" ht="22.9" x14ac:dyDescent="0.65">
      <c r="M107" s="52">
        <v>0.05</v>
      </c>
      <c r="N107" s="29" t="s">
        <v>103</v>
      </c>
      <c r="O107" s="58" t="s">
        <v>78</v>
      </c>
      <c r="P107" s="29"/>
      <c r="Q107" s="30"/>
    </row>
    <row r="108" spans="13:17" ht="22.9" x14ac:dyDescent="0.65">
      <c r="M108" s="48">
        <f>0+M$37*$B$7*1000</f>
        <v>375</v>
      </c>
      <c r="N108" s="32">
        <f>N$99*4*((M108/$B$7/1000)-(M108/$B$7/1000)^2)</f>
        <v>6.2288085937500002</v>
      </c>
      <c r="O108" s="32">
        <f>IF(N108&lt;J$84,(N108*10^6/J$75/J$82),(1-(J$84/N108)^2)*(N108*10^6/N$75/O$84)+(1-(1-(J$84/N108)^2))*(N108*10^6/J$75/J$82))</f>
        <v>2.5444074680085478E-7</v>
      </c>
      <c r="P108" s="32">
        <f>O108*M108/2</f>
        <v>4.7707640025160273E-5</v>
      </c>
      <c r="Q108" s="33">
        <f>M117-M$108*2/3</f>
        <v>3500</v>
      </c>
    </row>
    <row r="109" spans="13:17" ht="22.9" x14ac:dyDescent="0.65">
      <c r="M109" s="48">
        <f t="shared" ref="M109:M117" si="34">M108+M$37*$B$7*1000</f>
        <v>750</v>
      </c>
      <c r="N109" s="32">
        <f t="shared" ref="N109:N117" si="35">N$99*4*((M109/$B$7/1000)-(M109/$B$7/1000)^2)</f>
        <v>11.801953124999999</v>
      </c>
      <c r="O109" s="32">
        <f t="shared" ref="O109:O117" si="36">IF(N109&lt;J$84,(N109*10^6/J$75/J$82),(1-(J$84/N109)^2)*(N109*10^6/N$75/O$84)+(1-(1-(J$84/N109)^2))*(N109*10^6/J$75/J$82))</f>
        <v>4.8209825709635628E-7</v>
      </c>
      <c r="P109" s="32">
        <f>O108*(M109-M108)+(O109-O108)*(M109-M108)/2</f>
        <v>1.3810106323072709E-4</v>
      </c>
      <c r="Q109" s="33">
        <f>(O108*(M109-M108)*(M$117-(M108+M109)/2)+(O109-O108)*(M109-M108)/2*(M$117-(2*M109+M108)/3))/(O108*(M109-M108)+(O109-O108)*(M109-M108)/2)</f>
        <v>3168.181818181818</v>
      </c>
    </row>
    <row r="110" spans="13:17" ht="22.9" x14ac:dyDescent="0.65">
      <c r="M110" s="48">
        <f t="shared" si="34"/>
        <v>1125</v>
      </c>
      <c r="N110" s="32">
        <f t="shared" si="35"/>
        <v>16.719433593750001</v>
      </c>
      <c r="O110" s="32">
        <f t="shared" si="36"/>
        <v>8.4910177590013199E-7</v>
      </c>
      <c r="P110" s="32">
        <f>O109*(M110-M109)+(O110-O109)*(M110-M109)/2</f>
        <v>2.4960000618684156E-4</v>
      </c>
      <c r="Q110" s="33">
        <f t="shared" ref="Q110:Q117" si="37">(O109*(M110-M109)*(M$117-(M109+M110)/2)+(O110-O109)*(M110-M109)/2*(M$117-(2*M110+M109)/3))/(O109*(M110-M109)+(O110-O109)*(M110-M109)/2)</f>
        <v>2795.2691411082646</v>
      </c>
    </row>
    <row r="111" spans="13:17" ht="22.9" x14ac:dyDescent="0.65">
      <c r="M111" s="48">
        <f t="shared" si="34"/>
        <v>1500</v>
      </c>
      <c r="N111" s="32">
        <f t="shared" si="35"/>
        <v>20.981249999999999</v>
      </c>
      <c r="O111" s="32">
        <f t="shared" si="36"/>
        <v>1.3250612843677698E-6</v>
      </c>
      <c r="P111" s="32">
        <f>O110*(M111-M110)+(O111-O110)*(M111-M110)/2</f>
        <v>4.076555738002316E-4</v>
      </c>
      <c r="Q111" s="33">
        <f t="shared" si="37"/>
        <v>2423.8177376973917</v>
      </c>
    </row>
    <row r="112" spans="13:17" ht="22.9" x14ac:dyDescent="0.65">
      <c r="M112" s="48">
        <f t="shared" si="34"/>
        <v>1875</v>
      </c>
      <c r="N112" s="32">
        <f t="shared" si="35"/>
        <v>24.58740234375</v>
      </c>
      <c r="O112" s="32">
        <f t="shared" si="36"/>
        <v>1.6966328057835839E-6</v>
      </c>
      <c r="P112" s="32">
        <f>O111*(M112-M111)+(O112-O111)*(M112-M111)/2</f>
        <v>5.6656764190337878E-4</v>
      </c>
      <c r="Q112" s="33">
        <f t="shared" si="37"/>
        <v>2054.814503256905</v>
      </c>
    </row>
    <row r="113" spans="13:17" ht="22.9" x14ac:dyDescent="0.65">
      <c r="M113" s="48">
        <f t="shared" si="34"/>
        <v>2250</v>
      </c>
      <c r="N113" s="32">
        <f t="shared" si="35"/>
        <v>27.537890624999999</v>
      </c>
      <c r="O113" s="32">
        <f t="shared" si="36"/>
        <v>1.987745415743388E-6</v>
      </c>
      <c r="P113" s="32">
        <f t="shared" ref="P113:P117" si="38">O112*(M113-M112)+(O113-O112)*(M113-M112)/2</f>
        <v>6.9082091653630722E-4</v>
      </c>
      <c r="Q113" s="33">
        <f t="shared" si="37"/>
        <v>1682.5617072872212</v>
      </c>
    </row>
    <row r="114" spans="13:17" ht="22.9" x14ac:dyDescent="0.65">
      <c r="M114" s="48">
        <f t="shared" si="34"/>
        <v>2625</v>
      </c>
      <c r="N114" s="32">
        <f t="shared" si="35"/>
        <v>29.832714843749997</v>
      </c>
      <c r="O114" s="32">
        <f t="shared" si="36"/>
        <v>2.2085210081526486E-6</v>
      </c>
      <c r="P114" s="32">
        <f t="shared" si="38"/>
        <v>7.8679995448050681E-4</v>
      </c>
      <c r="Q114" s="33">
        <f t="shared" si="37"/>
        <v>1309.2117258220301</v>
      </c>
    </row>
    <row r="115" spans="13:17" ht="22.9" x14ac:dyDescent="0.65">
      <c r="M115" s="48">
        <f t="shared" si="34"/>
        <v>3000</v>
      </c>
      <c r="N115" s="32">
        <f t="shared" si="35"/>
        <v>31.471874999999997</v>
      </c>
      <c r="O115" s="32">
        <f t="shared" si="36"/>
        <v>2.3638551395408068E-6</v>
      </c>
      <c r="P115" s="32">
        <f t="shared" si="38"/>
        <v>8.5732052769252288E-4</v>
      </c>
      <c r="Q115" s="33">
        <f t="shared" si="37"/>
        <v>935.37673128846643</v>
      </c>
    </row>
    <row r="116" spans="13:17" ht="22.9" x14ac:dyDescent="0.65">
      <c r="M116" s="48">
        <f t="shared" si="34"/>
        <v>3375</v>
      </c>
      <c r="N116" s="32">
        <f t="shared" si="35"/>
        <v>32.455371093750003</v>
      </c>
      <c r="O116" s="32">
        <f t="shared" si="36"/>
        <v>2.4562537254122872E-6</v>
      </c>
      <c r="P116" s="32">
        <f t="shared" si="38"/>
        <v>9.0377041217870504E-4</v>
      </c>
      <c r="Q116" s="33">
        <f t="shared" si="37"/>
        <v>561.30191261675509</v>
      </c>
    </row>
    <row r="117" spans="13:17" ht="22.9" x14ac:dyDescent="0.65">
      <c r="M117" s="48">
        <f t="shared" si="34"/>
        <v>3750</v>
      </c>
      <c r="N117" s="32">
        <f t="shared" si="35"/>
        <v>32.783203125</v>
      </c>
      <c r="O117" s="32">
        <f t="shared" si="36"/>
        <v>2.4869316336036318E-6</v>
      </c>
      <c r="P117" s="32">
        <f t="shared" si="38"/>
        <v>9.2684725481548486E-4</v>
      </c>
      <c r="Q117" s="33">
        <f t="shared" si="37"/>
        <v>187.11211868002036</v>
      </c>
    </row>
    <row r="118" spans="13:17" ht="15.4" thickBot="1" x14ac:dyDescent="0.5">
      <c r="M118" s="39" t="str">
        <f>"delta (D+SD+L)="</f>
        <v>delta (D+SD+L)=</v>
      </c>
      <c r="N118" s="35">
        <f>SUM(P108:P117)*M117-P108*Q108-P109*Q109-P110*Q110-P111*Q111-P112*Q112-P113*Q113-P114*Q114-P115*Q115-P116*Q116-P117*Q117</f>
        <v>13.777420150415592</v>
      </c>
      <c r="O118" s="35"/>
      <c r="P118" s="35"/>
      <c r="Q118" s="36"/>
    </row>
  </sheetData>
  <dataConsolidate/>
  <mergeCells count="44">
    <mergeCell ref="E3:H4"/>
    <mergeCell ref="E6:H6"/>
    <mergeCell ref="A1:C1"/>
    <mergeCell ref="A2:C2"/>
    <mergeCell ref="E1:H1"/>
    <mergeCell ref="E2:H2"/>
    <mergeCell ref="E5:H5"/>
    <mergeCell ref="E23:E24"/>
    <mergeCell ref="F23:F24"/>
    <mergeCell ref="G23:G24"/>
    <mergeCell ref="E25:E26"/>
    <mergeCell ref="F25:F26"/>
    <mergeCell ref="G25:G26"/>
    <mergeCell ref="AC4:AF4"/>
    <mergeCell ref="I4:L4"/>
    <mergeCell ref="M28:O28"/>
    <mergeCell ref="I28:K28"/>
    <mergeCell ref="A3:C3"/>
    <mergeCell ref="W28:Y28"/>
    <mergeCell ref="Q4:T4"/>
    <mergeCell ref="M4:P4"/>
    <mergeCell ref="U4:X4"/>
    <mergeCell ref="Y4:AB4"/>
    <mergeCell ref="E19:E20"/>
    <mergeCell ref="F19:F20"/>
    <mergeCell ref="G19:G20"/>
    <mergeCell ref="E21:E22"/>
    <mergeCell ref="F21:F22"/>
    <mergeCell ref="G21:G22"/>
    <mergeCell ref="M98:O98"/>
    <mergeCell ref="L52:O52"/>
    <mergeCell ref="P52:S52"/>
    <mergeCell ref="I74:L74"/>
    <mergeCell ref="M74:P74"/>
    <mergeCell ref="A55:C55"/>
    <mergeCell ref="A61:C61"/>
    <mergeCell ref="E27:E28"/>
    <mergeCell ref="F27:F28"/>
    <mergeCell ref="G27:G28"/>
    <mergeCell ref="E29:E30"/>
    <mergeCell ref="F29:F30"/>
    <mergeCell ref="G29:G30"/>
    <mergeCell ref="A40:C40"/>
    <mergeCell ref="A47:C47"/>
  </mergeCells>
  <dataValidations count="5">
    <dataValidation type="list" allowBlank="1" showInputMessage="1" showErrorMessage="1" sqref="B27:C27" xr:uid="{00000000-0002-0000-0000-000000000000}">
      <formula1>"f8, f10, f12, f14, f16, f18, f20"</formula1>
    </dataValidation>
    <dataValidation type="list" allowBlank="1" showInputMessage="1" showErrorMessage="1" sqref="B14" xr:uid="{00000000-0002-0000-0000-000001000000}">
      <formula1>"S, D"</formula1>
    </dataValidation>
    <dataValidation type="list" allowBlank="1" showInputMessage="1" showErrorMessage="1" sqref="B28:C28" xr:uid="{00000000-0002-0000-0000-000002000000}">
      <formula1>"0, 1, 2, 3, 4, 5, 6, 7, 8"</formula1>
    </dataValidation>
    <dataValidation type="list" allowBlank="1" showInputMessage="1" showErrorMessage="1" sqref="B31" xr:uid="{00000000-0002-0000-0000-000003000000}">
      <formula1>"f4.5, f5, f6, f8, f10"</formula1>
    </dataValidation>
    <dataValidation type="list" allowBlank="1" showInputMessage="1" showErrorMessage="1" sqref="B35" xr:uid="{00000000-0002-0000-0000-000004000000}">
      <formula1>"f6, f8, f10, f12, f14, f16"</formula1>
    </dataValidation>
  </dataValidations>
  <hyperlinks>
    <hyperlink ref="A3" r:id="rId1" xr:uid="{00000000-0004-0000-0000-000000000000}"/>
    <hyperlink ref="A1" r:id="rId2" xr:uid="{02A6BC0E-4005-43B9-99F5-04E0A84CF4E2}"/>
    <hyperlink ref="A2" r:id="rId3" xr:uid="{005C998D-BBAA-4D2E-9110-E91A1F9142B2}"/>
    <hyperlink ref="A2:C2" r:id="rId4" display="https://telegram.me/hoseinzadehasl" xr:uid="{22D40D0B-9A1A-4EB9-B939-ACDE06D2C5EE}"/>
    <hyperlink ref="A3:C3" r:id="rId5" display="https://www.instagram.com/masoud_hoseinzadeh_asl" xr:uid="{040DE0F9-B04D-4F7F-B93E-B375EC54AB74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F8D7-8220-4F24-9E44-73DD99024754}">
  <dimension ref="A1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>
        <f>(10.51*0.5^2)/8</f>
        <v>0.32843749999999999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>
      <selection activeCell="I33" sqref="I33"/>
    </sheetView>
  </sheetViews>
  <sheetFormatPr defaultRowHeight="14.25" x14ac:dyDescent="0.45"/>
  <cols>
    <col min="4" max="4" width="12" bestFit="1" customWidth="1"/>
    <col min="9" max="9" width="12" bestFit="1" customWidth="1"/>
    <col min="13" max="13" width="12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Masoud</dc:creator>
  <cp:lastModifiedBy>MASOUD</cp:lastModifiedBy>
  <dcterms:created xsi:type="dcterms:W3CDTF">2014-07-03T02:46:34Z</dcterms:created>
  <dcterms:modified xsi:type="dcterms:W3CDTF">2020-08-13T10:31:48Z</dcterms:modified>
</cp:coreProperties>
</file>