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activeTab="2"/>
  </bookViews>
  <sheets>
    <sheet name="حق بیمه برای رده سنی مبنا" sheetId="1" r:id="rId1"/>
    <sheet name="جدول رده سنی" sheetId="2" r:id="rId2"/>
    <sheet name="محاسبه حق بیمه نقدی و اقساطی" sheetId="3" r:id="rId3"/>
  </sheets>
  <calcPr calcId="124519"/>
</workbook>
</file>

<file path=xl/calcChain.xml><?xml version="1.0" encoding="utf-8"?>
<calcChain xmlns="http://schemas.openxmlformats.org/spreadsheetml/2006/main">
  <c r="A5" i="3"/>
  <c r="A10"/>
  <c r="A9"/>
  <c r="A8"/>
  <c r="A3"/>
  <c r="G4" l="1"/>
  <c r="J7" s="1"/>
  <c r="A11"/>
  <c r="A4" s="1"/>
  <c r="G3" s="1"/>
  <c r="H3" l="1"/>
  <c r="I3" s="1"/>
  <c r="H4"/>
  <c r="J3" s="1"/>
  <c r="J5" l="1"/>
  <c r="E4" i="2"/>
  <c r="F23" i="1" l="1"/>
  <c r="E53" i="2" s="1"/>
  <c r="H23" i="1"/>
  <c r="E54" i="2" s="1"/>
  <c r="J23" i="1"/>
  <c r="E55" i="2" s="1"/>
  <c r="D23" i="1"/>
  <c r="E52" i="2" s="1"/>
  <c r="J22" i="1"/>
  <c r="E47" i="2" s="1"/>
  <c r="H22" i="1"/>
  <c r="E46" i="2" s="1"/>
  <c r="F22" i="1"/>
  <c r="E45" i="2" s="1"/>
  <c r="D22" i="1"/>
  <c r="E44" i="2" s="1"/>
  <c r="J21" i="1"/>
  <c r="E39" i="2" s="1"/>
  <c r="H21" i="1"/>
  <c r="E38" i="2" s="1"/>
  <c r="F21" i="1"/>
  <c r="E37" i="2" s="1"/>
  <c r="D21" i="1"/>
  <c r="E36" i="2" s="1"/>
  <c r="H45" l="1"/>
  <c r="C45"/>
  <c r="H55"/>
  <c r="C55"/>
  <c r="C53"/>
  <c r="H53"/>
  <c r="H37"/>
  <c r="F37"/>
  <c r="B37"/>
  <c r="D37"/>
  <c r="F39"/>
  <c r="C39"/>
  <c r="G39"/>
  <c r="C47"/>
  <c r="H47"/>
  <c r="H36"/>
  <c r="C36"/>
  <c r="H38"/>
  <c r="C38"/>
  <c r="F44"/>
  <c r="D44"/>
  <c r="B44"/>
  <c r="C44"/>
  <c r="H44"/>
  <c r="G44"/>
  <c r="H46"/>
  <c r="D46"/>
  <c r="F46"/>
  <c r="B46"/>
  <c r="H52"/>
  <c r="G52"/>
  <c r="C52"/>
  <c r="F52"/>
  <c r="D52"/>
  <c r="B52"/>
  <c r="H54"/>
  <c r="G54"/>
  <c r="C54"/>
  <c r="F54"/>
  <c r="D54"/>
  <c r="B54"/>
  <c r="C37"/>
  <c r="G37"/>
  <c r="B39"/>
  <c r="D39"/>
  <c r="H39"/>
  <c r="C46"/>
  <c r="G46"/>
  <c r="G53"/>
  <c r="G55"/>
  <c r="B53"/>
  <c r="D53"/>
  <c r="F53"/>
  <c r="B55"/>
  <c r="D55"/>
  <c r="F55"/>
  <c r="G45"/>
  <c r="G47"/>
  <c r="B45"/>
  <c r="D45"/>
  <c r="F45"/>
  <c r="B47"/>
  <c r="D47"/>
  <c r="F47"/>
  <c r="G36"/>
  <c r="G38"/>
  <c r="B36"/>
  <c r="D36"/>
  <c r="F36"/>
  <c r="B38"/>
  <c r="D38"/>
  <c r="F38"/>
  <c r="J15" i="1"/>
  <c r="J12"/>
  <c r="J7"/>
  <c r="J6"/>
  <c r="J5"/>
  <c r="J4"/>
  <c r="H15"/>
  <c r="H12"/>
  <c r="H7"/>
  <c r="H6"/>
  <c r="H5"/>
  <c r="H4"/>
  <c r="F15"/>
  <c r="F12"/>
  <c r="F7"/>
  <c r="F6"/>
  <c r="F5"/>
  <c r="F4"/>
  <c r="D15"/>
  <c r="D12"/>
  <c r="D7"/>
  <c r="D6"/>
  <c r="D5"/>
  <c r="D4"/>
  <c r="J10" l="1"/>
  <c r="H10"/>
  <c r="F10"/>
  <c r="D10"/>
  <c r="D13" l="1"/>
  <c r="H13"/>
  <c r="E6" i="2"/>
  <c r="F13" i="1"/>
  <c r="E5" i="2"/>
  <c r="J13" i="1"/>
  <c r="E7" i="2"/>
  <c r="D19" i="1" l="1"/>
  <c r="E20" i="2" s="1"/>
  <c r="D16" i="1"/>
  <c r="E28" i="2" s="1"/>
  <c r="J19" i="1"/>
  <c r="J16"/>
  <c r="E31" i="2" s="1"/>
  <c r="F19" i="1"/>
  <c r="F16"/>
  <c r="E29" i="2" s="1"/>
  <c r="H19" i="1"/>
  <c r="H16"/>
  <c r="E30" i="2" s="1"/>
  <c r="H5"/>
  <c r="G5"/>
  <c r="F5"/>
  <c r="B5"/>
  <c r="C5"/>
  <c r="D5"/>
  <c r="H4"/>
  <c r="G4"/>
  <c r="F4"/>
  <c r="B4"/>
  <c r="C4"/>
  <c r="D4"/>
  <c r="H7"/>
  <c r="G7"/>
  <c r="F7"/>
  <c r="B7"/>
  <c r="C7"/>
  <c r="D7"/>
  <c r="H6"/>
  <c r="G6"/>
  <c r="F6"/>
  <c r="B6"/>
  <c r="C6"/>
  <c r="D6"/>
  <c r="E15"/>
  <c r="E13"/>
  <c r="E14"/>
  <c r="E12"/>
  <c r="F20" l="1"/>
  <c r="H20"/>
  <c r="B20"/>
  <c r="D20"/>
  <c r="C20"/>
  <c r="G20"/>
  <c r="H30"/>
  <c r="C30"/>
  <c r="G30"/>
  <c r="B30"/>
  <c r="F30"/>
  <c r="D30"/>
  <c r="C29"/>
  <c r="H29"/>
  <c r="D29"/>
  <c r="G29"/>
  <c r="B29"/>
  <c r="F29"/>
  <c r="C31"/>
  <c r="H31"/>
  <c r="G31"/>
  <c r="B31"/>
  <c r="F31"/>
  <c r="D31"/>
  <c r="H28"/>
  <c r="D28"/>
  <c r="B28"/>
  <c r="C28"/>
  <c r="F28"/>
  <c r="G28"/>
  <c r="F12"/>
  <c r="D12"/>
  <c r="B12"/>
  <c r="H12"/>
  <c r="G12"/>
  <c r="C12"/>
  <c r="H14"/>
  <c r="G14"/>
  <c r="C14"/>
  <c r="F14"/>
  <c r="D14"/>
  <c r="B14"/>
  <c r="H13"/>
  <c r="C13"/>
  <c r="D13"/>
  <c r="G13"/>
  <c r="B13"/>
  <c r="F13"/>
  <c r="C15"/>
  <c r="H15"/>
  <c r="G15"/>
  <c r="B15"/>
  <c r="F15"/>
  <c r="D15"/>
  <c r="E21"/>
  <c r="E22"/>
  <c r="E23"/>
  <c r="H21" l="1"/>
  <c r="G21"/>
  <c r="D21"/>
  <c r="C21"/>
  <c r="F21"/>
  <c r="B21"/>
  <c r="H22"/>
  <c r="G22"/>
  <c r="C22"/>
  <c r="F22"/>
  <c r="D22"/>
  <c r="B22"/>
  <c r="H23"/>
  <c r="C23"/>
  <c r="G23"/>
  <c r="B23"/>
  <c r="F23"/>
  <c r="D23"/>
</calcChain>
</file>

<file path=xl/sharedStrings.xml><?xml version="1.0" encoding="utf-8"?>
<sst xmlns="http://schemas.openxmlformats.org/spreadsheetml/2006/main" count="190" uniqueCount="65">
  <si>
    <t>تعهدات</t>
  </si>
  <si>
    <t>طرح 1</t>
  </si>
  <si>
    <t>حق بیمه</t>
  </si>
  <si>
    <t>طرح 2</t>
  </si>
  <si>
    <t>طرح 3</t>
  </si>
  <si>
    <t>طرح VIP</t>
  </si>
  <si>
    <t xml:space="preserve">هزینه بیمارستانی </t>
  </si>
  <si>
    <t xml:space="preserve">اعمال جراحی بزرگ </t>
  </si>
  <si>
    <t>پاراکلینیکی</t>
  </si>
  <si>
    <t xml:space="preserve">جراحی های محدود </t>
  </si>
  <si>
    <t>آزمایش</t>
  </si>
  <si>
    <t xml:space="preserve">زایمان </t>
  </si>
  <si>
    <t xml:space="preserve"> ویزیت دارو </t>
  </si>
  <si>
    <t xml:space="preserve">دندانپزشکی </t>
  </si>
  <si>
    <t xml:space="preserve">حق بیمه سالانه با فرانشیز 30%  </t>
  </si>
  <si>
    <t xml:space="preserve">حق بیمه سالانه + زایمان با فرانشیز 30%  </t>
  </si>
  <si>
    <t>80.000.000</t>
  </si>
  <si>
    <t>150.000.000</t>
  </si>
  <si>
    <t>300.000.000</t>
  </si>
  <si>
    <t>سن</t>
  </si>
  <si>
    <t>0-15</t>
  </si>
  <si>
    <t>16-30</t>
  </si>
  <si>
    <t>31-39</t>
  </si>
  <si>
    <t>40-44</t>
  </si>
  <si>
    <t>45-55</t>
  </si>
  <si>
    <t>56-65</t>
  </si>
  <si>
    <t>66-70</t>
  </si>
  <si>
    <t>ضریب</t>
  </si>
  <si>
    <t>65%</t>
  </si>
  <si>
    <t>78%</t>
  </si>
  <si>
    <t>94%</t>
  </si>
  <si>
    <t>115%</t>
  </si>
  <si>
    <t>135%</t>
  </si>
  <si>
    <t>150%</t>
  </si>
  <si>
    <t>VIP</t>
  </si>
  <si>
    <t xml:space="preserve">حق بیمه سالانه + زایمان + ویزیت با فرانشیز 30%  </t>
  </si>
  <si>
    <t xml:space="preserve">حق بیمه سالانه + زایمان + دندان با فرانشیز 30%  </t>
  </si>
  <si>
    <t xml:space="preserve">حق بیمه سالانه + دندان با فرانشیز 30%  </t>
  </si>
  <si>
    <t xml:space="preserve">حق بیمه سالانه + ویزیت با فرانشیز 30%  </t>
  </si>
  <si>
    <t xml:space="preserve">حق بیمه سالانه + زایمان + همه مازادها با فرانشیز 30%  </t>
  </si>
  <si>
    <t>حق بیمه سالانه برای هر نفر در رده سنی 40-44 سال</t>
  </si>
  <si>
    <t>جبران هزینه انتقال بیمار 
داخل شهر و بین شهری</t>
  </si>
  <si>
    <t>1.200.000</t>
  </si>
  <si>
    <t>تعهدات بیمه درمان تکمیلی خانواده</t>
  </si>
  <si>
    <t>پوشش پایه</t>
  </si>
  <si>
    <t>مازاد1</t>
  </si>
  <si>
    <t>مازاد2</t>
  </si>
  <si>
    <t>مازاد3</t>
  </si>
  <si>
    <t>جدول حق بیمه سالیانه هر بیمه شده  (پوشش پایه)</t>
  </si>
  <si>
    <t>جدول حق بیمه پوشش پایه + زایمان</t>
  </si>
  <si>
    <t>جدول حق بیمه پوشش پایه + زایمان+ دندان</t>
  </si>
  <si>
    <t>جدول حق بیمه پوشش پایه +زایمان+ویزیت</t>
  </si>
  <si>
    <t>جدول حق بیمه پوشش پایه + دندان</t>
  </si>
  <si>
    <t>جدول حق بیمه پوشش پایه +ویزیت</t>
  </si>
  <si>
    <t>جدول حق بیمه پوشش پایه + زایمان + ویزیت + دندان</t>
  </si>
  <si>
    <t>حق بیمه هر فرد</t>
  </si>
  <si>
    <t>درصد تخفیف بیمه پایه</t>
  </si>
  <si>
    <t>درصد تخفیف بیمه ملتی</t>
  </si>
  <si>
    <t>جمع حق بیمه</t>
  </si>
  <si>
    <t>مالیات</t>
  </si>
  <si>
    <t>پیش پرداخت</t>
  </si>
  <si>
    <t>درصد مالیات</t>
  </si>
  <si>
    <t xml:space="preserve">3قسط 2 ماه به 2 ماه </t>
  </si>
  <si>
    <t>حق بیمه نقدی با مالیات</t>
  </si>
  <si>
    <t>حق بیمه اقساطی با مالیات</t>
  </si>
</sst>
</file>

<file path=xl/styles.xml><?xml version="1.0" encoding="utf-8"?>
<styleSheet xmlns="http://schemas.openxmlformats.org/spreadsheetml/2006/main">
  <numFmts count="1">
    <numFmt numFmtId="164" formatCode="#,##0_-"/>
  </numFmts>
  <fonts count="8"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Mitra"/>
      <charset val="178"/>
    </font>
    <font>
      <b/>
      <sz val="11"/>
      <color theme="1"/>
      <name val="B Mitra"/>
      <charset val="178"/>
    </font>
    <font>
      <b/>
      <sz val="14"/>
      <color theme="1"/>
      <name val="B Nazanin"/>
      <charset val="178"/>
    </font>
    <font>
      <b/>
      <sz val="8"/>
      <color theme="1"/>
      <name val="B Nazanin"/>
      <charset val="178"/>
    </font>
    <font>
      <sz val="11"/>
      <color theme="1"/>
      <name val="B Nazanin"/>
      <charset val="178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3" fontId="1" fillId="0" borderId="0" xfId="0" applyNumberFormat="1" applyFont="1"/>
    <xf numFmtId="0" fontId="1" fillId="0" borderId="5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center" vertical="center"/>
    </xf>
    <xf numFmtId="3" fontId="1" fillId="0" borderId="27" xfId="0" applyNumberFormat="1" applyFont="1" applyBorder="1" applyAlignment="1">
      <alignment horizontal="center" vertical="center"/>
    </xf>
    <xf numFmtId="3" fontId="1" fillId="0" borderId="30" xfId="0" applyNumberFormat="1" applyFont="1" applyBorder="1" applyAlignment="1">
      <alignment horizontal="center" vertical="center"/>
    </xf>
    <xf numFmtId="0" fontId="0" fillId="0" borderId="0" xfId="0"/>
    <xf numFmtId="3" fontId="2" fillId="2" borderId="17" xfId="0" applyNumberFormat="1" applyFont="1" applyFill="1" applyBorder="1" applyAlignment="1">
      <alignment horizontal="center" vertical="center"/>
    </xf>
    <xf numFmtId="3" fontId="1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/>
    <xf numFmtId="3" fontId="2" fillId="3" borderId="28" xfId="0" applyNumberFormat="1" applyFont="1" applyFill="1" applyBorder="1" applyAlignment="1">
      <alignment horizontal="center" vertical="center"/>
    </xf>
    <xf numFmtId="3" fontId="2" fillId="3" borderId="19" xfId="0" applyNumberFormat="1" applyFont="1" applyFill="1" applyBorder="1" applyAlignment="1">
      <alignment horizontal="center" vertical="center"/>
    </xf>
    <xf numFmtId="0" fontId="1" fillId="3" borderId="0" xfId="0" applyFont="1" applyFill="1"/>
    <xf numFmtId="3" fontId="2" fillId="4" borderId="28" xfId="0" applyNumberFormat="1" applyFont="1" applyFill="1" applyBorder="1" applyAlignment="1">
      <alignment horizontal="center" vertical="center"/>
    </xf>
    <xf numFmtId="0" fontId="1" fillId="4" borderId="0" xfId="0" applyFont="1" applyFill="1"/>
    <xf numFmtId="3" fontId="2" fillId="5" borderId="28" xfId="0" applyNumberFormat="1" applyFont="1" applyFill="1" applyBorder="1" applyAlignment="1">
      <alignment horizontal="center" vertical="center"/>
    </xf>
    <xf numFmtId="0" fontId="1" fillId="5" borderId="0" xfId="0" applyFont="1" applyFill="1"/>
    <xf numFmtId="3" fontId="2" fillId="6" borderId="28" xfId="0" applyNumberFormat="1" applyFont="1" applyFill="1" applyBorder="1" applyAlignment="1">
      <alignment horizontal="center" vertical="center"/>
    </xf>
    <xf numFmtId="3" fontId="2" fillId="6" borderId="19" xfId="0" applyNumberFormat="1" applyFont="1" applyFill="1" applyBorder="1" applyAlignment="1">
      <alignment horizontal="center" vertical="center"/>
    </xf>
    <xf numFmtId="0" fontId="1" fillId="6" borderId="0" xfId="0" applyFont="1" applyFill="1"/>
    <xf numFmtId="3" fontId="2" fillId="7" borderId="28" xfId="0" applyNumberFormat="1" applyFont="1" applyFill="1" applyBorder="1" applyAlignment="1">
      <alignment horizontal="center" vertical="center"/>
    </xf>
    <xf numFmtId="3" fontId="2" fillId="7" borderId="19" xfId="0" applyNumberFormat="1" applyFont="1" applyFill="1" applyBorder="1" applyAlignment="1">
      <alignment horizontal="center" vertical="center"/>
    </xf>
    <xf numFmtId="0" fontId="1" fillId="7" borderId="0" xfId="0" applyFont="1" applyFill="1"/>
    <xf numFmtId="3" fontId="2" fillId="8" borderId="28" xfId="0" applyNumberFormat="1" applyFont="1" applyFill="1" applyBorder="1" applyAlignment="1">
      <alignment horizontal="center" vertical="center"/>
    </xf>
    <xf numFmtId="0" fontId="1" fillId="8" borderId="0" xfId="0" applyFont="1" applyFill="1"/>
    <xf numFmtId="3" fontId="1" fillId="2" borderId="11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21" xfId="0" applyNumberFormat="1" applyFont="1" applyFill="1" applyBorder="1" applyAlignment="1">
      <alignment horizontal="center" vertical="center"/>
    </xf>
    <xf numFmtId="3" fontId="1" fillId="2" borderId="26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3" fontId="1" fillId="2" borderId="30" xfId="0" applyNumberFormat="1" applyFont="1" applyFill="1" applyBorder="1" applyAlignment="1">
      <alignment horizontal="center" vertical="center"/>
    </xf>
    <xf numFmtId="3" fontId="1" fillId="11" borderId="11" xfId="0" applyNumberFormat="1" applyFont="1" applyFill="1" applyBorder="1" applyAlignment="1">
      <alignment horizontal="center" vertical="center"/>
    </xf>
    <xf numFmtId="3" fontId="1" fillId="11" borderId="8" xfId="0" applyNumberFormat="1" applyFont="1" applyFill="1" applyBorder="1" applyAlignment="1">
      <alignment horizontal="center" vertical="center"/>
    </xf>
    <xf numFmtId="3" fontId="1" fillId="11" borderId="21" xfId="0" applyNumberFormat="1" applyFont="1" applyFill="1" applyBorder="1" applyAlignment="1">
      <alignment horizontal="center" vertical="center"/>
    </xf>
    <xf numFmtId="3" fontId="1" fillId="11" borderId="16" xfId="0" applyNumberFormat="1" applyFont="1" applyFill="1" applyBorder="1" applyAlignment="1">
      <alignment horizontal="center" vertical="center"/>
    </xf>
    <xf numFmtId="3" fontId="1" fillId="11" borderId="26" xfId="0" applyNumberFormat="1" applyFont="1" applyFill="1" applyBorder="1" applyAlignment="1">
      <alignment horizontal="center" vertical="center"/>
    </xf>
    <xf numFmtId="3" fontId="2" fillId="11" borderId="28" xfId="0" applyNumberFormat="1" applyFont="1" applyFill="1" applyBorder="1" applyAlignment="1">
      <alignment horizontal="center" vertical="center"/>
    </xf>
    <xf numFmtId="3" fontId="1" fillId="11" borderId="2" xfId="0" applyNumberFormat="1" applyFont="1" applyFill="1" applyBorder="1" applyAlignment="1">
      <alignment horizontal="center" vertical="center"/>
    </xf>
    <xf numFmtId="3" fontId="1" fillId="11" borderId="0" xfId="0" applyNumberFormat="1" applyFont="1" applyFill="1"/>
    <xf numFmtId="3" fontId="1" fillId="11" borderId="30" xfId="0" applyNumberFormat="1" applyFont="1" applyFill="1" applyBorder="1" applyAlignment="1">
      <alignment horizontal="center" vertical="center"/>
    </xf>
    <xf numFmtId="3" fontId="1" fillId="13" borderId="13" xfId="0" applyNumberFormat="1" applyFont="1" applyFill="1" applyBorder="1" applyAlignment="1">
      <alignment horizontal="center" vertical="center"/>
    </xf>
    <xf numFmtId="3" fontId="1" fillId="13" borderId="7" xfId="0" applyNumberFormat="1" applyFont="1" applyFill="1" applyBorder="1" applyAlignment="1">
      <alignment horizontal="center" vertical="center"/>
    </xf>
    <xf numFmtId="3" fontId="1" fillId="13" borderId="23" xfId="0" applyNumberFormat="1" applyFont="1" applyFill="1" applyBorder="1" applyAlignment="1">
      <alignment horizontal="center" vertical="center"/>
    </xf>
    <xf numFmtId="3" fontId="1" fillId="13" borderId="18" xfId="0" applyNumberFormat="1" applyFont="1" applyFill="1" applyBorder="1" applyAlignment="1">
      <alignment horizontal="center" vertical="center"/>
    </xf>
    <xf numFmtId="3" fontId="1" fillId="13" borderId="26" xfId="0" applyNumberFormat="1" applyFont="1" applyFill="1" applyBorder="1" applyAlignment="1">
      <alignment horizontal="center" vertical="center"/>
    </xf>
    <xf numFmtId="3" fontId="2" fillId="13" borderId="28" xfId="0" applyNumberFormat="1" applyFont="1" applyFill="1" applyBorder="1" applyAlignment="1">
      <alignment horizontal="center" vertical="center"/>
    </xf>
    <xf numFmtId="3" fontId="1" fillId="13" borderId="2" xfId="0" applyNumberFormat="1" applyFont="1" applyFill="1" applyBorder="1" applyAlignment="1">
      <alignment horizontal="center" vertical="center"/>
    </xf>
    <xf numFmtId="3" fontId="1" fillId="13" borderId="0" xfId="0" applyNumberFormat="1" applyFont="1" applyFill="1"/>
    <xf numFmtId="3" fontId="1" fillId="13" borderId="30" xfId="0" applyNumberFormat="1" applyFont="1" applyFill="1" applyBorder="1" applyAlignment="1">
      <alignment horizontal="center" vertical="center"/>
    </xf>
    <xf numFmtId="3" fontId="2" fillId="2" borderId="28" xfId="0" applyNumberFormat="1" applyFont="1" applyFill="1" applyBorder="1" applyAlignment="1">
      <alignment horizontal="center" vertical="center"/>
    </xf>
    <xf numFmtId="3" fontId="1" fillId="14" borderId="11" xfId="0" applyNumberFormat="1" applyFont="1" applyFill="1" applyBorder="1" applyAlignment="1">
      <alignment horizontal="center" vertical="center"/>
    </xf>
    <xf numFmtId="3" fontId="1" fillId="14" borderId="8" xfId="0" applyNumberFormat="1" applyFont="1" applyFill="1" applyBorder="1" applyAlignment="1">
      <alignment horizontal="center" vertical="center"/>
    </xf>
    <xf numFmtId="3" fontId="1" fillId="14" borderId="21" xfId="0" applyNumberFormat="1" applyFont="1" applyFill="1" applyBorder="1" applyAlignment="1">
      <alignment horizontal="center" vertical="center"/>
    </xf>
    <xf numFmtId="3" fontId="1" fillId="14" borderId="26" xfId="0" applyNumberFormat="1" applyFont="1" applyFill="1" applyBorder="1" applyAlignment="1">
      <alignment horizontal="center" vertical="center"/>
    </xf>
    <xf numFmtId="3" fontId="1" fillId="14" borderId="2" xfId="0" applyNumberFormat="1" applyFont="1" applyFill="1" applyBorder="1" applyAlignment="1">
      <alignment horizontal="center" vertical="center"/>
    </xf>
    <xf numFmtId="3" fontId="1" fillId="14" borderId="0" xfId="0" applyNumberFormat="1" applyFont="1" applyFill="1"/>
    <xf numFmtId="3" fontId="1" fillId="14" borderId="30" xfId="0" applyNumberFormat="1" applyFont="1" applyFill="1" applyBorder="1" applyAlignment="1">
      <alignment horizontal="center" vertical="center"/>
    </xf>
    <xf numFmtId="3" fontId="1" fillId="15" borderId="5" xfId="0" applyNumberFormat="1" applyFont="1" applyFill="1" applyBorder="1" applyAlignment="1">
      <alignment horizontal="center" vertical="center"/>
    </xf>
    <xf numFmtId="3" fontId="1" fillId="15" borderId="0" xfId="0" applyNumberFormat="1" applyFont="1" applyFill="1"/>
    <xf numFmtId="1" fontId="2" fillId="17" borderId="10" xfId="0" applyNumberFormat="1" applyFont="1" applyFill="1" applyBorder="1" applyAlignment="1">
      <alignment horizontal="center" vertical="center"/>
    </xf>
    <xf numFmtId="1" fontId="2" fillId="17" borderId="6" xfId="0" applyNumberFormat="1" applyFont="1" applyFill="1" applyBorder="1" applyAlignment="1">
      <alignment horizontal="center" vertical="center"/>
    </xf>
    <xf numFmtId="0" fontId="2" fillId="17" borderId="20" xfId="0" applyFont="1" applyFill="1" applyBorder="1" applyAlignment="1">
      <alignment horizontal="center" vertical="center"/>
    </xf>
    <xf numFmtId="0" fontId="6" fillId="17" borderId="2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2" fillId="9" borderId="25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" fillId="18" borderId="0" xfId="0" applyFont="1" applyFill="1" applyAlignment="1">
      <alignment horizontal="center" vertical="center"/>
    </xf>
    <xf numFmtId="0" fontId="2" fillId="18" borderId="29" xfId="0" applyFont="1" applyFill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3" fontId="2" fillId="14" borderId="54" xfId="0" applyNumberFormat="1" applyFont="1" applyFill="1" applyBorder="1" applyAlignment="1">
      <alignment horizontal="center" vertical="center"/>
    </xf>
    <xf numFmtId="3" fontId="2" fillId="0" borderId="55" xfId="0" applyNumberFormat="1" applyFont="1" applyBorder="1" applyAlignment="1">
      <alignment horizontal="center" vertical="center"/>
    </xf>
    <xf numFmtId="3" fontId="2" fillId="11" borderId="54" xfId="0" applyNumberFormat="1" applyFont="1" applyFill="1" applyBorder="1" applyAlignment="1">
      <alignment horizontal="center" vertical="center"/>
    </xf>
    <xf numFmtId="3" fontId="2" fillId="2" borderId="54" xfId="0" applyNumberFormat="1" applyFont="1" applyFill="1" applyBorder="1" applyAlignment="1">
      <alignment horizontal="center" vertical="center"/>
    </xf>
    <xf numFmtId="3" fontId="2" fillId="13" borderId="56" xfId="0" applyNumberFormat="1" applyFont="1" applyFill="1" applyBorder="1" applyAlignment="1">
      <alignment horizontal="center" vertical="center"/>
    </xf>
    <xf numFmtId="3" fontId="2" fillId="0" borderId="57" xfId="0" applyNumberFormat="1" applyFont="1" applyBorder="1" applyAlignment="1">
      <alignment horizontal="center" vertical="center"/>
    </xf>
    <xf numFmtId="0" fontId="1" fillId="0" borderId="31" xfId="0" applyFont="1" applyBorder="1"/>
    <xf numFmtId="0" fontId="0" fillId="0" borderId="0" xfId="0" applyAlignment="1">
      <alignment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3" fillId="2" borderId="46" xfId="0" applyNumberFormat="1" applyFont="1" applyFill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3" fontId="3" fillId="3" borderId="31" xfId="0" applyNumberFormat="1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3" fontId="3" fillId="3" borderId="46" xfId="0" applyNumberFormat="1" applyFont="1" applyFill="1" applyBorder="1" applyAlignment="1">
      <alignment horizontal="center" vertical="center"/>
    </xf>
    <xf numFmtId="3" fontId="3" fillId="4" borderId="31" xfId="0" applyNumberFormat="1" applyFont="1" applyFill="1" applyBorder="1" applyAlignment="1">
      <alignment horizontal="center" vertical="center"/>
    </xf>
    <xf numFmtId="3" fontId="3" fillId="4" borderId="46" xfId="0" applyNumberFormat="1" applyFont="1" applyFill="1" applyBorder="1" applyAlignment="1">
      <alignment horizontal="center" vertical="center"/>
    </xf>
    <xf numFmtId="3" fontId="3" fillId="5" borderId="31" xfId="0" applyNumberFormat="1" applyFont="1" applyFill="1" applyBorder="1" applyAlignment="1">
      <alignment horizontal="center" vertical="center"/>
    </xf>
    <xf numFmtId="3" fontId="3" fillId="5" borderId="46" xfId="0" applyNumberFormat="1" applyFont="1" applyFill="1" applyBorder="1" applyAlignment="1">
      <alignment horizontal="center" vertical="center"/>
    </xf>
    <xf numFmtId="3" fontId="3" fillId="6" borderId="31" xfId="0" applyNumberFormat="1" applyFont="1" applyFill="1" applyBorder="1" applyAlignment="1">
      <alignment horizontal="center" vertical="center"/>
    </xf>
    <xf numFmtId="3" fontId="3" fillId="6" borderId="46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/>
    </xf>
    <xf numFmtId="3" fontId="3" fillId="7" borderId="46" xfId="0" applyNumberFormat="1" applyFont="1" applyFill="1" applyBorder="1" applyAlignment="1">
      <alignment horizontal="center" vertical="center"/>
    </xf>
    <xf numFmtId="3" fontId="3" fillId="8" borderId="31" xfId="0" applyNumberFormat="1" applyFont="1" applyFill="1" applyBorder="1" applyAlignment="1">
      <alignment horizontal="center" vertical="center"/>
    </xf>
    <xf numFmtId="3" fontId="3" fillId="8" borderId="46" xfId="0" applyNumberFormat="1" applyFont="1" applyFill="1" applyBorder="1" applyAlignment="1">
      <alignment horizontal="center" vertical="center"/>
    </xf>
    <xf numFmtId="0" fontId="2" fillId="10" borderId="31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12" borderId="31" xfId="0" applyFont="1" applyFill="1" applyBorder="1" applyAlignment="1">
      <alignment horizontal="center" vertical="center"/>
    </xf>
    <xf numFmtId="0" fontId="2" fillId="12" borderId="42" xfId="0" applyFont="1" applyFill="1" applyBorder="1" applyAlignment="1">
      <alignment horizontal="center" vertical="center"/>
    </xf>
    <xf numFmtId="164" fontId="7" fillId="10" borderId="31" xfId="0" applyNumberFormat="1" applyFont="1" applyFill="1" applyBorder="1" applyAlignment="1">
      <alignment horizontal="center" vertical="center"/>
    </xf>
    <xf numFmtId="164" fontId="7" fillId="2" borderId="31" xfId="0" applyNumberFormat="1" applyFont="1" applyFill="1" applyBorder="1" applyAlignment="1">
      <alignment horizontal="center" vertical="center"/>
    </xf>
    <xf numFmtId="164" fontId="7" fillId="12" borderId="31" xfId="0" applyNumberFormat="1" applyFont="1" applyFill="1" applyBorder="1" applyAlignment="1">
      <alignment horizontal="center" vertical="center"/>
    </xf>
    <xf numFmtId="164" fontId="7" fillId="12" borderId="42" xfId="0" applyNumberFormat="1" applyFont="1" applyFill="1" applyBorder="1" applyAlignment="1">
      <alignment horizontal="center" vertical="center"/>
    </xf>
    <xf numFmtId="164" fontId="7" fillId="13" borderId="31" xfId="0" applyNumberFormat="1" applyFont="1" applyFill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2" fillId="13" borderId="31" xfId="0" applyNumberFormat="1" applyFont="1" applyFill="1" applyBorder="1" applyAlignment="1">
      <alignment horizontal="center" vertical="center"/>
    </xf>
    <xf numFmtId="164" fontId="7" fillId="3" borderId="31" xfId="0" applyNumberFormat="1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16" borderId="31" xfId="0" applyFont="1" applyFill="1" applyBorder="1" applyAlignment="1">
      <alignment horizontal="center" vertical="center"/>
    </xf>
    <xf numFmtId="0" fontId="2" fillId="13" borderId="31" xfId="0" applyFont="1" applyFill="1" applyBorder="1" applyAlignment="1">
      <alignment horizontal="center" vertical="center" wrapText="1"/>
    </xf>
    <xf numFmtId="0" fontId="1" fillId="17" borderId="49" xfId="0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 readingOrder="2"/>
    </xf>
    <xf numFmtId="0" fontId="5" fillId="0" borderId="51" xfId="0" applyFont="1" applyBorder="1" applyAlignment="1">
      <alignment horizontal="center" vertical="center" readingOrder="2"/>
    </xf>
    <xf numFmtId="0" fontId="5" fillId="0" borderId="52" xfId="0" applyFont="1" applyBorder="1" applyAlignment="1">
      <alignment horizontal="center" vertical="center" readingOrder="2"/>
    </xf>
    <xf numFmtId="0" fontId="2" fillId="7" borderId="1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2" fillId="8" borderId="15" xfId="0" applyFont="1" applyFill="1" applyBorder="1" applyAlignment="1">
      <alignment horizontal="center" vertical="center"/>
    </xf>
    <xf numFmtId="0" fontId="2" fillId="8" borderId="18" xfId="0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 readingOrder="2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64" fontId="2" fillId="3" borderId="30" xfId="0" applyNumberFormat="1" applyFont="1" applyFill="1" applyBorder="1" applyAlignment="1">
      <alignment horizontal="center" vertical="center" wrapText="1"/>
    </xf>
    <xf numFmtId="164" fontId="2" fillId="3" borderId="58" xfId="0" applyNumberFormat="1" applyFont="1" applyFill="1" applyBorder="1" applyAlignment="1">
      <alignment horizontal="center" vertical="center" wrapText="1"/>
    </xf>
    <xf numFmtId="164" fontId="2" fillId="16" borderId="30" xfId="0" applyNumberFormat="1" applyFont="1" applyFill="1" applyBorder="1" applyAlignment="1">
      <alignment horizontal="center" vertical="center"/>
    </xf>
    <xf numFmtId="164" fontId="2" fillId="16" borderId="58" xfId="0" applyNumberFormat="1" applyFont="1" applyFill="1" applyBorder="1" applyAlignment="1">
      <alignment horizontal="center" vertical="center"/>
    </xf>
    <xf numFmtId="164" fontId="2" fillId="13" borderId="30" xfId="0" applyNumberFormat="1" applyFont="1" applyFill="1" applyBorder="1" applyAlignment="1">
      <alignment horizontal="center" vertical="center" wrapText="1"/>
    </xf>
    <xf numFmtId="164" fontId="2" fillId="13" borderId="58" xfId="0" applyNumberFormat="1" applyFont="1" applyFill="1" applyBorder="1" applyAlignment="1">
      <alignment horizontal="center" vertical="center" wrapText="1"/>
    </xf>
    <xf numFmtId="164" fontId="7" fillId="13" borderId="3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rightToLeft="1" topLeftCell="A2" workbookViewId="0">
      <selection activeCell="E6" sqref="E6"/>
    </sheetView>
  </sheetViews>
  <sheetFormatPr defaultRowHeight="18.75"/>
  <cols>
    <col min="1" max="1" width="9.140625" style="1"/>
    <col min="2" max="2" width="30.5703125" style="2" customWidth="1"/>
    <col min="3" max="3" width="16.7109375" style="67" customWidth="1"/>
    <col min="4" max="4" width="1.85546875" style="3" hidden="1" customWidth="1"/>
    <col min="5" max="5" width="15.5703125" style="50" customWidth="1"/>
    <col min="6" max="6" width="11.42578125" style="3" hidden="1" customWidth="1"/>
    <col min="7" max="7" width="15.28515625" style="41" customWidth="1"/>
    <col min="8" max="8" width="12.28515625" style="3" hidden="1" customWidth="1"/>
    <col min="9" max="9" width="17" style="59" customWidth="1"/>
    <col min="10" max="10" width="11" style="3" hidden="1" customWidth="1"/>
    <col min="11" max="16384" width="9.140625" style="1"/>
  </cols>
  <sheetData>
    <row r="1" spans="1:10" ht="24.75" hidden="1" thickBot="1">
      <c r="B1" s="151" t="s">
        <v>40</v>
      </c>
      <c r="C1" s="152"/>
      <c r="D1" s="152"/>
      <c r="E1" s="152"/>
      <c r="F1" s="152"/>
      <c r="G1" s="152"/>
      <c r="H1" s="152"/>
      <c r="I1" s="152"/>
      <c r="J1" s="153"/>
    </row>
    <row r="2" spans="1:10" ht="24">
      <c r="A2" s="91"/>
      <c r="B2" s="168" t="s">
        <v>43</v>
      </c>
      <c r="C2" s="168"/>
      <c r="D2" s="168"/>
      <c r="E2" s="168"/>
      <c r="F2" s="168"/>
      <c r="G2" s="168"/>
      <c r="H2" s="168"/>
      <c r="I2" s="168"/>
      <c r="J2" s="168"/>
    </row>
    <row r="3" spans="1:10" ht="21.75" thickBot="1">
      <c r="B3" s="84" t="s">
        <v>0</v>
      </c>
      <c r="C3" s="85" t="s">
        <v>1</v>
      </c>
      <c r="D3" s="86" t="s">
        <v>2</v>
      </c>
      <c r="E3" s="87" t="s">
        <v>3</v>
      </c>
      <c r="F3" s="86" t="s">
        <v>2</v>
      </c>
      <c r="G3" s="88" t="s">
        <v>4</v>
      </c>
      <c r="H3" s="86" t="s">
        <v>2</v>
      </c>
      <c r="I3" s="89" t="s">
        <v>5</v>
      </c>
      <c r="J3" s="90" t="s">
        <v>2</v>
      </c>
    </row>
    <row r="4" spans="1:10" ht="21">
      <c r="A4" s="150" t="s">
        <v>44</v>
      </c>
      <c r="B4" s="71" t="s">
        <v>6</v>
      </c>
      <c r="C4" s="62">
        <v>30000000</v>
      </c>
      <c r="D4" s="10">
        <f>105000*12*1.3</f>
        <v>1638000</v>
      </c>
      <c r="E4" s="43">
        <v>50000000</v>
      </c>
      <c r="F4" s="10">
        <f>137000*12*1.3</f>
        <v>2137200</v>
      </c>
      <c r="G4" s="36" t="s">
        <v>16</v>
      </c>
      <c r="H4" s="10">
        <f>158000*12*1.3</f>
        <v>2464800</v>
      </c>
      <c r="I4" s="52" t="s">
        <v>17</v>
      </c>
      <c r="J4" s="11">
        <f>202000*12*1.3</f>
        <v>3151200</v>
      </c>
    </row>
    <row r="5" spans="1:10" ht="21">
      <c r="A5" s="150"/>
      <c r="B5" s="72" t="s">
        <v>7</v>
      </c>
      <c r="C5" s="63">
        <v>60000000</v>
      </c>
      <c r="D5" s="9">
        <f>36750*12*1.3</f>
        <v>573300</v>
      </c>
      <c r="E5" s="44">
        <v>100000000</v>
      </c>
      <c r="F5" s="9">
        <f>47950*12*1.3</f>
        <v>748020</v>
      </c>
      <c r="G5" s="37" t="s">
        <v>17</v>
      </c>
      <c r="H5" s="9">
        <f>52850*12*1.3</f>
        <v>824460</v>
      </c>
      <c r="I5" s="53" t="s">
        <v>18</v>
      </c>
      <c r="J5" s="7">
        <f>70700*12*1.3</f>
        <v>1102920</v>
      </c>
    </row>
    <row r="6" spans="1:10" ht="21">
      <c r="A6" s="150"/>
      <c r="B6" s="72" t="s">
        <v>8</v>
      </c>
      <c r="C6" s="63">
        <v>3000000</v>
      </c>
      <c r="D6" s="9">
        <f>12450*12*1.3</f>
        <v>194220</v>
      </c>
      <c r="E6" s="44">
        <v>5000000</v>
      </c>
      <c r="F6" s="9">
        <f>20750*12*1.3</f>
        <v>323700</v>
      </c>
      <c r="G6" s="37">
        <v>10000000</v>
      </c>
      <c r="H6" s="9">
        <f>41500*12*1.3</f>
        <v>647400</v>
      </c>
      <c r="I6" s="53">
        <v>20000000</v>
      </c>
      <c r="J6" s="7">
        <f>71800*12*1.3</f>
        <v>1120080</v>
      </c>
    </row>
    <row r="7" spans="1:10" ht="21">
      <c r="A7" s="150"/>
      <c r="B7" s="72" t="s">
        <v>9</v>
      </c>
      <c r="C7" s="63">
        <v>1500000</v>
      </c>
      <c r="D7" s="9">
        <f>4950*12*1.3</f>
        <v>77220</v>
      </c>
      <c r="E7" s="44">
        <v>2500000</v>
      </c>
      <c r="F7" s="9">
        <f>8250*12*1.3</f>
        <v>128700</v>
      </c>
      <c r="G7" s="37">
        <v>5000000</v>
      </c>
      <c r="H7" s="9">
        <f>16500*12*1.3</f>
        <v>257400</v>
      </c>
      <c r="I7" s="53">
        <v>10000000</v>
      </c>
      <c r="J7" s="7">
        <f>33000*12*1.3</f>
        <v>514800</v>
      </c>
    </row>
    <row r="8" spans="1:10" ht="21">
      <c r="A8" s="150"/>
      <c r="B8" s="73" t="s">
        <v>10</v>
      </c>
      <c r="C8" s="64">
        <v>1000000</v>
      </c>
      <c r="D8" s="12">
        <v>468000</v>
      </c>
      <c r="E8" s="45">
        <v>2000000</v>
      </c>
      <c r="F8" s="12">
        <v>936000</v>
      </c>
      <c r="G8" s="38">
        <v>5000000</v>
      </c>
      <c r="H8" s="12">
        <v>2340000</v>
      </c>
      <c r="I8" s="54">
        <v>7500000</v>
      </c>
      <c r="J8" s="13">
        <v>3510000</v>
      </c>
    </row>
    <row r="9" spans="1:10" ht="19.5" thickBot="1">
      <c r="A9" s="150"/>
      <c r="B9" s="74" t="s">
        <v>41</v>
      </c>
      <c r="C9" s="64" t="s">
        <v>42</v>
      </c>
      <c r="D9" s="12">
        <v>0</v>
      </c>
      <c r="E9" s="45" t="s">
        <v>42</v>
      </c>
      <c r="F9" s="12">
        <v>0</v>
      </c>
      <c r="G9" s="38" t="s">
        <v>42</v>
      </c>
      <c r="H9" s="12">
        <v>0</v>
      </c>
      <c r="I9" s="54" t="s">
        <v>42</v>
      </c>
      <c r="J9" s="13">
        <v>0</v>
      </c>
    </row>
    <row r="10" spans="1:10" s="20" customFormat="1" ht="21.75" hidden="1" customHeight="1" thickBot="1">
      <c r="B10" s="158" t="s">
        <v>14</v>
      </c>
      <c r="C10" s="159"/>
      <c r="D10" s="18">
        <f>SUM(D4:D8)</f>
        <v>2950740</v>
      </c>
      <c r="E10" s="46"/>
      <c r="F10" s="18">
        <f>SUM(F4:F8)</f>
        <v>4273620</v>
      </c>
      <c r="G10" s="19"/>
      <c r="H10" s="18">
        <f>SUM(H4:H8)</f>
        <v>6534060</v>
      </c>
      <c r="I10" s="55"/>
      <c r="J10" s="18">
        <f>SUM(J4:J8)</f>
        <v>9399000</v>
      </c>
    </row>
    <row r="11" spans="1:10" ht="19.5" thickBot="1">
      <c r="B11" s="4"/>
      <c r="C11" s="69"/>
      <c r="D11" s="69"/>
      <c r="E11" s="69"/>
      <c r="F11" s="69"/>
      <c r="G11" s="69"/>
      <c r="H11" s="69"/>
      <c r="I11" s="69"/>
      <c r="J11" s="8"/>
    </row>
    <row r="12" spans="1:10" ht="21.75" thickBot="1">
      <c r="A12" s="78" t="s">
        <v>45</v>
      </c>
      <c r="B12" s="79" t="s">
        <v>11</v>
      </c>
      <c r="C12" s="65">
        <v>15000000</v>
      </c>
      <c r="D12" s="14">
        <f>45000*12*1.3</f>
        <v>702000</v>
      </c>
      <c r="E12" s="47">
        <v>20000000</v>
      </c>
      <c r="F12" s="14">
        <f>60000*12*1.3</f>
        <v>936000</v>
      </c>
      <c r="G12" s="39">
        <v>30000000</v>
      </c>
      <c r="H12" s="14">
        <f>90000*12*1.3</f>
        <v>1404000</v>
      </c>
      <c r="I12" s="56">
        <v>50000000</v>
      </c>
      <c r="J12" s="15">
        <f>112000*12*1.3</f>
        <v>1747200</v>
      </c>
    </row>
    <row r="13" spans="1:10" s="23" customFormat="1" ht="21.75" hidden="1" customHeight="1" thickBot="1">
      <c r="A13" s="76"/>
      <c r="B13" s="160" t="s">
        <v>15</v>
      </c>
      <c r="C13" s="161"/>
      <c r="D13" s="21">
        <f>D10+D12</f>
        <v>3652740</v>
      </c>
      <c r="E13" s="48"/>
      <c r="F13" s="21">
        <f>F10+F12</f>
        <v>5209620</v>
      </c>
      <c r="G13" s="61"/>
      <c r="H13" s="21">
        <f>H10+H12</f>
        <v>7938060</v>
      </c>
      <c r="I13" s="57"/>
      <c r="J13" s="22">
        <f>J10+J12</f>
        <v>11146200</v>
      </c>
    </row>
    <row r="14" spans="1:10" ht="19.5" thickBot="1">
      <c r="A14" s="75"/>
      <c r="B14" s="4"/>
      <c r="C14" s="69"/>
      <c r="D14" s="69"/>
      <c r="E14" s="69"/>
      <c r="F14" s="69"/>
      <c r="G14" s="69"/>
      <c r="H14" s="69"/>
      <c r="I14" s="69"/>
      <c r="J14" s="8"/>
    </row>
    <row r="15" spans="1:10" ht="21">
      <c r="A15" s="80" t="s">
        <v>46</v>
      </c>
      <c r="B15" s="81" t="s">
        <v>12</v>
      </c>
      <c r="C15" s="66">
        <v>1000000</v>
      </c>
      <c r="D15" s="5">
        <f>33000*12*1.3</f>
        <v>514800</v>
      </c>
      <c r="E15" s="49">
        <v>2000000</v>
      </c>
      <c r="F15" s="5">
        <f>66000*12*1.3</f>
        <v>1029600</v>
      </c>
      <c r="G15" s="40">
        <v>5000000</v>
      </c>
      <c r="H15" s="5">
        <f>165000*12*1.3</f>
        <v>2574000</v>
      </c>
      <c r="I15" s="58">
        <v>7500000</v>
      </c>
      <c r="J15" s="6">
        <f>247500*12*1.3</f>
        <v>3861000</v>
      </c>
    </row>
    <row r="16" spans="1:10" s="27" customFormat="1" ht="21.75" hidden="1" customHeight="1" thickBot="1">
      <c r="A16" s="77"/>
      <c r="B16" s="162" t="s">
        <v>35</v>
      </c>
      <c r="C16" s="163"/>
      <c r="D16" s="26">
        <f>D13+D15</f>
        <v>4167540</v>
      </c>
      <c r="E16" s="48"/>
      <c r="F16" s="26">
        <f t="shared" ref="F16:J16" si="0">F13+F15</f>
        <v>6239220</v>
      </c>
      <c r="G16" s="61"/>
      <c r="H16" s="26">
        <f t="shared" si="0"/>
        <v>10512060</v>
      </c>
      <c r="I16" s="57"/>
      <c r="J16" s="26">
        <f t="shared" si="0"/>
        <v>15007200</v>
      </c>
    </row>
    <row r="17" spans="1:10">
      <c r="A17" s="75"/>
      <c r="C17" s="70"/>
      <c r="D17" s="70"/>
      <c r="E17" s="70"/>
      <c r="F17" s="70"/>
      <c r="G17" s="70"/>
      <c r="H17" s="70"/>
      <c r="I17" s="70"/>
    </row>
    <row r="18" spans="1:10" ht="21">
      <c r="A18" s="82" t="s">
        <v>47</v>
      </c>
      <c r="B18" s="83" t="s">
        <v>13</v>
      </c>
      <c r="C18" s="68">
        <v>1000000</v>
      </c>
      <c r="D18" s="16">
        <v>780000</v>
      </c>
      <c r="E18" s="51">
        <v>2000000</v>
      </c>
      <c r="F18" s="16">
        <v>1560000</v>
      </c>
      <c r="G18" s="42">
        <v>5000000</v>
      </c>
      <c r="H18" s="16">
        <v>3900000</v>
      </c>
      <c r="I18" s="60">
        <v>10000000</v>
      </c>
      <c r="J18" s="13">
        <v>7800000</v>
      </c>
    </row>
    <row r="19" spans="1:10" s="25" customFormat="1" ht="21.75" hidden="1" customHeight="1" thickBot="1">
      <c r="B19" s="164" t="s">
        <v>36</v>
      </c>
      <c r="C19" s="165"/>
      <c r="D19" s="24">
        <f>D13+D18</f>
        <v>4432740</v>
      </c>
      <c r="E19" s="48"/>
      <c r="F19" s="24">
        <f t="shared" ref="F19:J19" si="1">F13+F18</f>
        <v>6769620</v>
      </c>
      <c r="G19" s="61"/>
      <c r="H19" s="24">
        <f t="shared" si="1"/>
        <v>11838060</v>
      </c>
      <c r="I19" s="57"/>
      <c r="J19" s="24">
        <f t="shared" si="1"/>
        <v>18946200</v>
      </c>
    </row>
    <row r="20" spans="1:10">
      <c r="C20" s="70"/>
      <c r="D20" s="70"/>
      <c r="E20" s="70"/>
      <c r="F20" s="70"/>
      <c r="G20" s="70"/>
      <c r="H20" s="70"/>
      <c r="I20" s="70"/>
    </row>
    <row r="21" spans="1:10" s="30" customFormat="1" ht="21.75" hidden="1" customHeight="1" thickBot="1">
      <c r="B21" s="166" t="s">
        <v>37</v>
      </c>
      <c r="C21" s="167"/>
      <c r="D21" s="28">
        <f>D10+D18</f>
        <v>3730740</v>
      </c>
      <c r="E21" s="48"/>
      <c r="F21" s="28">
        <f>F10+F18</f>
        <v>5833620</v>
      </c>
      <c r="G21" s="61"/>
      <c r="H21" s="28">
        <f>H10+H18</f>
        <v>10434060</v>
      </c>
      <c r="I21" s="57"/>
      <c r="J21" s="29">
        <f>J10+J18</f>
        <v>17199000</v>
      </c>
    </row>
    <row r="22" spans="1:10" s="33" customFormat="1" ht="21.75" hidden="1" customHeight="1" thickBot="1">
      <c r="B22" s="154" t="s">
        <v>38</v>
      </c>
      <c r="C22" s="155"/>
      <c r="D22" s="31">
        <f>D10+D15</f>
        <v>3465540</v>
      </c>
      <c r="E22" s="48"/>
      <c r="F22" s="31">
        <f>F10+F15</f>
        <v>5303220</v>
      </c>
      <c r="G22" s="61"/>
      <c r="H22" s="31">
        <f>H10+H15</f>
        <v>9108060</v>
      </c>
      <c r="I22" s="57"/>
      <c r="J22" s="32">
        <f>J10+J15</f>
        <v>13260000</v>
      </c>
    </row>
    <row r="23" spans="1:10" s="35" customFormat="1" ht="21.75" hidden="1" customHeight="1" thickBot="1">
      <c r="B23" s="156" t="s">
        <v>39</v>
      </c>
      <c r="C23" s="157"/>
      <c r="D23" s="34">
        <f>D10+D12+D15+D18</f>
        <v>4947540</v>
      </c>
      <c r="E23" s="48"/>
      <c r="F23" s="34">
        <f t="shared" ref="F23:J23" si="2">F10+F12+F15+F18</f>
        <v>7799220</v>
      </c>
      <c r="G23" s="61"/>
      <c r="H23" s="34">
        <f t="shared" si="2"/>
        <v>14412060</v>
      </c>
      <c r="I23" s="57"/>
      <c r="J23" s="34">
        <f t="shared" si="2"/>
        <v>22807200</v>
      </c>
    </row>
  </sheetData>
  <mergeCells count="10">
    <mergeCell ref="A4:A9"/>
    <mergeCell ref="B1:J1"/>
    <mergeCell ref="B22:C22"/>
    <mergeCell ref="B23:C23"/>
    <mergeCell ref="B10:C10"/>
    <mergeCell ref="B13:C13"/>
    <mergeCell ref="B16:C16"/>
    <mergeCell ref="B19:C19"/>
    <mergeCell ref="B21:C21"/>
    <mergeCell ref="B2:J2"/>
  </mergeCells>
  <pageMargins left="0.14000000000000001" right="0.14000000000000001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"/>
  <sheetViews>
    <sheetView rightToLeft="1" view="pageLayout" workbookViewId="0">
      <selection activeCell="J52" sqref="J52"/>
    </sheetView>
  </sheetViews>
  <sheetFormatPr defaultRowHeight="15"/>
  <cols>
    <col min="4" max="4" width="8.7109375" bestFit="1" customWidth="1"/>
  </cols>
  <sheetData>
    <row r="1" spans="1:8" s="92" customFormat="1" ht="14.25" customHeight="1" thickTop="1" thickBot="1">
      <c r="A1" s="169" t="s">
        <v>48</v>
      </c>
      <c r="B1" s="170"/>
      <c r="C1" s="170"/>
      <c r="D1" s="170"/>
      <c r="E1" s="170"/>
      <c r="F1" s="170"/>
      <c r="G1" s="170"/>
      <c r="H1" s="171"/>
    </row>
    <row r="2" spans="1:8" s="92" customFormat="1" ht="14.25" customHeight="1" thickTop="1">
      <c r="A2" s="93" t="s">
        <v>19</v>
      </c>
      <c r="B2" s="94" t="s">
        <v>20</v>
      </c>
      <c r="C2" s="94" t="s">
        <v>21</v>
      </c>
      <c r="D2" s="94" t="s">
        <v>22</v>
      </c>
      <c r="E2" s="95" t="s">
        <v>23</v>
      </c>
      <c r="F2" s="94" t="s">
        <v>24</v>
      </c>
      <c r="G2" s="96" t="s">
        <v>25</v>
      </c>
      <c r="H2" s="97" t="s">
        <v>26</v>
      </c>
    </row>
    <row r="3" spans="1:8" s="92" customFormat="1" ht="14.25" customHeight="1">
      <c r="A3" s="98" t="s">
        <v>27</v>
      </c>
      <c r="B3" s="99" t="s">
        <v>28</v>
      </c>
      <c r="C3" s="99" t="s">
        <v>29</v>
      </c>
      <c r="D3" s="99" t="s">
        <v>30</v>
      </c>
      <c r="E3" s="100">
        <v>1</v>
      </c>
      <c r="F3" s="99" t="s">
        <v>31</v>
      </c>
      <c r="G3" s="101" t="s">
        <v>32</v>
      </c>
      <c r="H3" s="102" t="s">
        <v>33</v>
      </c>
    </row>
    <row r="4" spans="1:8" s="92" customFormat="1" ht="14.25" customHeight="1">
      <c r="A4" s="103" t="s">
        <v>1</v>
      </c>
      <c r="B4" s="104">
        <f>E4*B3</f>
        <v>1917981</v>
      </c>
      <c r="C4" s="104">
        <f>E4*C3</f>
        <v>2301577.2000000002</v>
      </c>
      <c r="D4" s="104">
        <f>E4*D3</f>
        <v>2773695.5999999996</v>
      </c>
      <c r="E4" s="105">
        <f>'حق بیمه برای رده سنی مبنا'!D10</f>
        <v>2950740</v>
      </c>
      <c r="F4" s="104">
        <f>E4*F3</f>
        <v>3393350.9999999995</v>
      </c>
      <c r="G4" s="106">
        <f>E4*G3</f>
        <v>3983499.0000000005</v>
      </c>
      <c r="H4" s="107">
        <f>E4*H3</f>
        <v>4426110</v>
      </c>
    </row>
    <row r="5" spans="1:8" s="92" customFormat="1" ht="14.25" customHeight="1">
      <c r="A5" s="103" t="s">
        <v>3</v>
      </c>
      <c r="B5" s="104">
        <f>E5*B3</f>
        <v>2777853</v>
      </c>
      <c r="C5" s="104">
        <f>E5*C3</f>
        <v>3333423.6</v>
      </c>
      <c r="D5" s="104">
        <f>E5*D3</f>
        <v>4017202.8</v>
      </c>
      <c r="E5" s="105">
        <f>'حق بیمه برای رده سنی مبنا'!F10</f>
        <v>4273620</v>
      </c>
      <c r="F5" s="104">
        <f>E5*F3</f>
        <v>4914663</v>
      </c>
      <c r="G5" s="106">
        <f>E5*G3</f>
        <v>5769387</v>
      </c>
      <c r="H5" s="107">
        <f>E5*H3</f>
        <v>6410430</v>
      </c>
    </row>
    <row r="6" spans="1:8" s="92" customFormat="1" ht="14.25" customHeight="1">
      <c r="A6" s="103" t="s">
        <v>4</v>
      </c>
      <c r="B6" s="104">
        <f>E6*B3</f>
        <v>4247139</v>
      </c>
      <c r="C6" s="104">
        <f>E6*C3</f>
        <v>5096566.8</v>
      </c>
      <c r="D6" s="104">
        <f>E6*D3</f>
        <v>6142016.3999999994</v>
      </c>
      <c r="E6" s="105">
        <f>'حق بیمه برای رده سنی مبنا'!H10</f>
        <v>6534060</v>
      </c>
      <c r="F6" s="104">
        <f>E6*F3</f>
        <v>7514168.9999999991</v>
      </c>
      <c r="G6" s="106">
        <f>E6*G3</f>
        <v>8820981</v>
      </c>
      <c r="H6" s="107">
        <f>E6*H3</f>
        <v>9801090</v>
      </c>
    </row>
    <row r="7" spans="1:8" s="92" customFormat="1" ht="14.25" customHeight="1" thickBot="1">
      <c r="A7" s="108" t="s">
        <v>34</v>
      </c>
      <c r="B7" s="109">
        <f>E7*B3</f>
        <v>6109350</v>
      </c>
      <c r="C7" s="109">
        <f>E7*C3</f>
        <v>7331220</v>
      </c>
      <c r="D7" s="109">
        <f>E7*D3</f>
        <v>8835060</v>
      </c>
      <c r="E7" s="110">
        <f>'حق بیمه برای رده سنی مبنا'!J10</f>
        <v>9399000</v>
      </c>
      <c r="F7" s="109">
        <f>E7*F3</f>
        <v>10808850</v>
      </c>
      <c r="G7" s="111">
        <f>E7*G3</f>
        <v>12688650</v>
      </c>
      <c r="H7" s="112">
        <f>E7*H3</f>
        <v>14098500</v>
      </c>
    </row>
    <row r="8" spans="1:8" s="92" customFormat="1" ht="14.25" customHeight="1" thickBot="1"/>
    <row r="9" spans="1:8" s="92" customFormat="1" ht="14.25" customHeight="1" thickTop="1" thickBot="1">
      <c r="A9" s="169" t="s">
        <v>49</v>
      </c>
      <c r="B9" s="170"/>
      <c r="C9" s="170"/>
      <c r="D9" s="170"/>
      <c r="E9" s="170"/>
      <c r="F9" s="170"/>
      <c r="G9" s="170"/>
      <c r="H9" s="171"/>
    </row>
    <row r="10" spans="1:8" s="92" customFormat="1" ht="14.25" customHeight="1" thickTop="1">
      <c r="A10" s="113" t="s">
        <v>19</v>
      </c>
      <c r="B10" s="114" t="s">
        <v>20</v>
      </c>
      <c r="C10" s="114" t="s">
        <v>21</v>
      </c>
      <c r="D10" s="114" t="s">
        <v>22</v>
      </c>
      <c r="E10" s="115" t="s">
        <v>23</v>
      </c>
      <c r="F10" s="114" t="s">
        <v>24</v>
      </c>
      <c r="G10" s="116" t="s">
        <v>25</v>
      </c>
      <c r="H10" s="117" t="s">
        <v>26</v>
      </c>
    </row>
    <row r="11" spans="1:8" s="92" customFormat="1" ht="14.25" customHeight="1">
      <c r="A11" s="118" t="s">
        <v>27</v>
      </c>
      <c r="B11" s="99" t="s">
        <v>28</v>
      </c>
      <c r="C11" s="99" t="s">
        <v>29</v>
      </c>
      <c r="D11" s="99" t="s">
        <v>30</v>
      </c>
      <c r="E11" s="100">
        <v>1</v>
      </c>
      <c r="F11" s="99" t="s">
        <v>31</v>
      </c>
      <c r="G11" s="101" t="s">
        <v>32</v>
      </c>
      <c r="H11" s="119" t="s">
        <v>33</v>
      </c>
    </row>
    <row r="12" spans="1:8" s="92" customFormat="1" ht="14.25" customHeight="1">
      <c r="A12" s="120" t="s">
        <v>1</v>
      </c>
      <c r="B12" s="104">
        <f>E12*B11</f>
        <v>2374281</v>
      </c>
      <c r="C12" s="104">
        <f>E12*C11</f>
        <v>2849137.2</v>
      </c>
      <c r="D12" s="104">
        <f>E12*D11</f>
        <v>3433575.5999999996</v>
      </c>
      <c r="E12" s="121">
        <f>'حق بیمه برای رده سنی مبنا'!D13</f>
        <v>3652740</v>
      </c>
      <c r="F12" s="104">
        <f>E12*F11</f>
        <v>4200651</v>
      </c>
      <c r="G12" s="106">
        <f>E12*G11</f>
        <v>4931199</v>
      </c>
      <c r="H12" s="107">
        <f>E12*H11</f>
        <v>5479110</v>
      </c>
    </row>
    <row r="13" spans="1:8" s="92" customFormat="1" ht="14.25" customHeight="1">
      <c r="A13" s="120" t="s">
        <v>3</v>
      </c>
      <c r="B13" s="104">
        <f>E13*B11</f>
        <v>3386253</v>
      </c>
      <c r="C13" s="104">
        <f>E13*C11</f>
        <v>4063503.6</v>
      </c>
      <c r="D13" s="104">
        <f>E13*D11</f>
        <v>4897042.8</v>
      </c>
      <c r="E13" s="121">
        <f>'حق بیمه برای رده سنی مبنا'!F13</f>
        <v>5209620</v>
      </c>
      <c r="F13" s="104">
        <f>E13*F11</f>
        <v>5991063</v>
      </c>
      <c r="G13" s="106">
        <f>E13*G11</f>
        <v>7032987</v>
      </c>
      <c r="H13" s="107">
        <f>E13*H11</f>
        <v>7814430</v>
      </c>
    </row>
    <row r="14" spans="1:8" s="92" customFormat="1" ht="14.25" customHeight="1">
      <c r="A14" s="120" t="s">
        <v>4</v>
      </c>
      <c r="B14" s="104">
        <f>E14*B11</f>
        <v>5159739</v>
      </c>
      <c r="C14" s="104">
        <f>E14*C11</f>
        <v>6191686.7999999998</v>
      </c>
      <c r="D14" s="104">
        <f>E14*D11</f>
        <v>7461776.3999999994</v>
      </c>
      <c r="E14" s="121">
        <f>'حق بیمه برای رده سنی مبنا'!H13</f>
        <v>7938060</v>
      </c>
      <c r="F14" s="104">
        <f>E14*F11</f>
        <v>9128769</v>
      </c>
      <c r="G14" s="106">
        <f>E14*G11</f>
        <v>10716381</v>
      </c>
      <c r="H14" s="107">
        <f>E14*H11</f>
        <v>11907090</v>
      </c>
    </row>
    <row r="15" spans="1:8" s="92" customFormat="1" ht="14.25" customHeight="1" thickBot="1">
      <c r="A15" s="122" t="s">
        <v>34</v>
      </c>
      <c r="B15" s="109">
        <f>E15*B11</f>
        <v>7245030</v>
      </c>
      <c r="C15" s="109">
        <f>E15*C11</f>
        <v>8694036</v>
      </c>
      <c r="D15" s="109">
        <f>E15*D11</f>
        <v>10477428</v>
      </c>
      <c r="E15" s="123">
        <f>'حق بیمه برای رده سنی مبنا'!J13</f>
        <v>11146200</v>
      </c>
      <c r="F15" s="109">
        <f>E15*F11</f>
        <v>12818129.999999998</v>
      </c>
      <c r="G15" s="111">
        <f>E15*G11</f>
        <v>15047370.000000002</v>
      </c>
      <c r="H15" s="112">
        <f>E15*H11</f>
        <v>16719300</v>
      </c>
    </row>
    <row r="16" spans="1:8" s="92" customFormat="1" ht="14.25" customHeight="1" thickTop="1" thickBot="1"/>
    <row r="17" spans="1:8" s="92" customFormat="1" ht="14.25" customHeight="1" thickTop="1" thickBot="1">
      <c r="A17" s="169" t="s">
        <v>50</v>
      </c>
      <c r="B17" s="170"/>
      <c r="C17" s="170"/>
      <c r="D17" s="170"/>
      <c r="E17" s="170"/>
      <c r="F17" s="170"/>
      <c r="G17" s="170"/>
      <c r="H17" s="171"/>
    </row>
    <row r="18" spans="1:8" s="92" customFormat="1" ht="14.25" customHeight="1" thickTop="1">
      <c r="A18" s="113" t="s">
        <v>19</v>
      </c>
      <c r="B18" s="114" t="s">
        <v>20</v>
      </c>
      <c r="C18" s="114" t="s">
        <v>21</v>
      </c>
      <c r="D18" s="114" t="s">
        <v>22</v>
      </c>
      <c r="E18" s="115" t="s">
        <v>23</v>
      </c>
      <c r="F18" s="114" t="s">
        <v>24</v>
      </c>
      <c r="G18" s="116" t="s">
        <v>25</v>
      </c>
      <c r="H18" s="117" t="s">
        <v>26</v>
      </c>
    </row>
    <row r="19" spans="1:8" s="92" customFormat="1" ht="14.25" customHeight="1">
      <c r="A19" s="118" t="s">
        <v>27</v>
      </c>
      <c r="B19" s="99" t="s">
        <v>28</v>
      </c>
      <c r="C19" s="99" t="s">
        <v>29</v>
      </c>
      <c r="D19" s="99" t="s">
        <v>30</v>
      </c>
      <c r="E19" s="100">
        <v>1</v>
      </c>
      <c r="F19" s="99" t="s">
        <v>31</v>
      </c>
      <c r="G19" s="101" t="s">
        <v>32</v>
      </c>
      <c r="H19" s="119" t="s">
        <v>33</v>
      </c>
    </row>
    <row r="20" spans="1:8" s="92" customFormat="1" ht="14.25" customHeight="1">
      <c r="A20" s="120" t="s">
        <v>1</v>
      </c>
      <c r="B20" s="104">
        <f>E20*B19</f>
        <v>2881281</v>
      </c>
      <c r="C20" s="104">
        <f>E20*C19</f>
        <v>3457537.2</v>
      </c>
      <c r="D20" s="104">
        <f>E20*D19</f>
        <v>4166775.5999999996</v>
      </c>
      <c r="E20" s="124">
        <f>'حق بیمه برای رده سنی مبنا'!D19</f>
        <v>4432740</v>
      </c>
      <c r="F20" s="104">
        <f>E20*F19</f>
        <v>5097651</v>
      </c>
      <c r="G20" s="106">
        <f>E20*G19</f>
        <v>5984199</v>
      </c>
      <c r="H20" s="107">
        <f>E20*H19</f>
        <v>6649110</v>
      </c>
    </row>
    <row r="21" spans="1:8" s="92" customFormat="1" ht="14.25" customHeight="1">
      <c r="A21" s="120" t="s">
        <v>3</v>
      </c>
      <c r="B21" s="104">
        <f>E21*B19</f>
        <v>4400253</v>
      </c>
      <c r="C21" s="104">
        <f>E21*C19</f>
        <v>5280303.6000000006</v>
      </c>
      <c r="D21" s="104">
        <f>E21*D19</f>
        <v>6363442.7999999998</v>
      </c>
      <c r="E21" s="124">
        <f>'حق بیمه برای رده سنی مبنا'!F19</f>
        <v>6769620</v>
      </c>
      <c r="F21" s="104">
        <f>E21*F19</f>
        <v>7785062.9999999991</v>
      </c>
      <c r="G21" s="106">
        <f>E21*G19</f>
        <v>9138987</v>
      </c>
      <c r="H21" s="107">
        <f>E21*H19</f>
        <v>10154430</v>
      </c>
    </row>
    <row r="22" spans="1:8" s="92" customFormat="1" ht="14.25" customHeight="1">
      <c r="A22" s="120" t="s">
        <v>4</v>
      </c>
      <c r="B22" s="104">
        <f>E22*B19</f>
        <v>7694739</v>
      </c>
      <c r="C22" s="104">
        <f>E22*C19</f>
        <v>9233686.8000000007</v>
      </c>
      <c r="D22" s="104">
        <f>E22*D19</f>
        <v>11127776.399999999</v>
      </c>
      <c r="E22" s="124">
        <f>'حق بیمه برای رده سنی مبنا'!H19</f>
        <v>11838060</v>
      </c>
      <c r="F22" s="104">
        <f>E22*F19</f>
        <v>13613768.999999998</v>
      </c>
      <c r="G22" s="106">
        <f>E22*G19</f>
        <v>15981381.000000002</v>
      </c>
      <c r="H22" s="107">
        <f>E22*H19</f>
        <v>17757090</v>
      </c>
    </row>
    <row r="23" spans="1:8" s="92" customFormat="1" ht="14.25" customHeight="1" thickBot="1">
      <c r="A23" s="122" t="s">
        <v>34</v>
      </c>
      <c r="B23" s="109">
        <f>E23*B19</f>
        <v>12315030</v>
      </c>
      <c r="C23" s="109">
        <f>E23*C19</f>
        <v>14778036</v>
      </c>
      <c r="D23" s="109">
        <f>E23*D19</f>
        <v>17809428</v>
      </c>
      <c r="E23" s="125">
        <f>'حق بیمه برای رده سنی مبنا'!J19</f>
        <v>18946200</v>
      </c>
      <c r="F23" s="109">
        <f>E23*F19</f>
        <v>21788130</v>
      </c>
      <c r="G23" s="111">
        <f>E23*G19</f>
        <v>25577370</v>
      </c>
      <c r="H23" s="112">
        <f>E23*H19</f>
        <v>28419300</v>
      </c>
    </row>
    <row r="24" spans="1:8" s="92" customFormat="1" ht="14.25" customHeight="1" thickTop="1" thickBot="1"/>
    <row r="25" spans="1:8" s="92" customFormat="1" ht="14.25" customHeight="1" thickTop="1" thickBot="1">
      <c r="A25" s="169" t="s">
        <v>51</v>
      </c>
      <c r="B25" s="170"/>
      <c r="C25" s="170"/>
      <c r="D25" s="170"/>
      <c r="E25" s="170"/>
      <c r="F25" s="170"/>
      <c r="G25" s="170"/>
      <c r="H25" s="171"/>
    </row>
    <row r="26" spans="1:8" s="92" customFormat="1" ht="14.25" customHeight="1" thickTop="1">
      <c r="A26" s="113" t="s">
        <v>19</v>
      </c>
      <c r="B26" s="114" t="s">
        <v>20</v>
      </c>
      <c r="C26" s="114" t="s">
        <v>21</v>
      </c>
      <c r="D26" s="114" t="s">
        <v>22</v>
      </c>
      <c r="E26" s="115" t="s">
        <v>23</v>
      </c>
      <c r="F26" s="114" t="s">
        <v>24</v>
      </c>
      <c r="G26" s="116" t="s">
        <v>25</v>
      </c>
      <c r="H26" s="117" t="s">
        <v>26</v>
      </c>
    </row>
    <row r="27" spans="1:8" s="92" customFormat="1" ht="14.25" customHeight="1">
      <c r="A27" s="118" t="s">
        <v>27</v>
      </c>
      <c r="B27" s="99" t="s">
        <v>28</v>
      </c>
      <c r="C27" s="99" t="s">
        <v>29</v>
      </c>
      <c r="D27" s="99" t="s">
        <v>30</v>
      </c>
      <c r="E27" s="100">
        <v>1</v>
      </c>
      <c r="F27" s="99" t="s">
        <v>31</v>
      </c>
      <c r="G27" s="101" t="s">
        <v>32</v>
      </c>
      <c r="H27" s="119" t="s">
        <v>33</v>
      </c>
    </row>
    <row r="28" spans="1:8" s="92" customFormat="1" ht="14.25" customHeight="1">
      <c r="A28" s="120" t="s">
        <v>1</v>
      </c>
      <c r="B28" s="104">
        <f>E28*B27</f>
        <v>2708901</v>
      </c>
      <c r="C28" s="104">
        <f>E28*C27</f>
        <v>3250681.2</v>
      </c>
      <c r="D28" s="104">
        <f>E28*D27</f>
        <v>3917487.5999999996</v>
      </c>
      <c r="E28" s="126">
        <f>'حق بیمه برای رده سنی مبنا'!D16</f>
        <v>4167540</v>
      </c>
      <c r="F28" s="104">
        <f>E28*F27</f>
        <v>4792671</v>
      </c>
      <c r="G28" s="106">
        <f>E28*G27</f>
        <v>5626179</v>
      </c>
      <c r="H28" s="107">
        <f>E28*H27</f>
        <v>6251310</v>
      </c>
    </row>
    <row r="29" spans="1:8" s="92" customFormat="1" ht="14.25" customHeight="1">
      <c r="A29" s="120" t="s">
        <v>3</v>
      </c>
      <c r="B29" s="104">
        <f>E29*B27</f>
        <v>4055493</v>
      </c>
      <c r="C29" s="104">
        <f>E29*C27</f>
        <v>4866591.6000000006</v>
      </c>
      <c r="D29" s="104">
        <f>E29*D27</f>
        <v>5864866.7999999998</v>
      </c>
      <c r="E29" s="126">
        <f>'حق بیمه برای رده سنی مبنا'!F16</f>
        <v>6239220</v>
      </c>
      <c r="F29" s="104">
        <f>E29*F27</f>
        <v>7175102.9999999991</v>
      </c>
      <c r="G29" s="106">
        <f>E29*G27</f>
        <v>8422947</v>
      </c>
      <c r="H29" s="107">
        <f>E29*H27</f>
        <v>9358830</v>
      </c>
    </row>
    <row r="30" spans="1:8" s="92" customFormat="1" ht="14.25" customHeight="1">
      <c r="A30" s="120" t="s">
        <v>4</v>
      </c>
      <c r="B30" s="104">
        <f>E30*B27</f>
        <v>6832839</v>
      </c>
      <c r="C30" s="104">
        <f>E30*C27</f>
        <v>8199406.8000000007</v>
      </c>
      <c r="D30" s="104">
        <f>E30*D27</f>
        <v>9881336.3999999985</v>
      </c>
      <c r="E30" s="126">
        <f>'حق بیمه برای رده سنی مبنا'!H16</f>
        <v>10512060</v>
      </c>
      <c r="F30" s="104">
        <f>E30*F27</f>
        <v>12088868.999999998</v>
      </c>
      <c r="G30" s="106">
        <f>E30*G27</f>
        <v>14191281.000000002</v>
      </c>
      <c r="H30" s="107">
        <f>E30*H27</f>
        <v>15768090</v>
      </c>
    </row>
    <row r="31" spans="1:8" s="92" customFormat="1" ht="14.25" customHeight="1" thickBot="1">
      <c r="A31" s="122" t="s">
        <v>34</v>
      </c>
      <c r="B31" s="109">
        <f>E31*B27</f>
        <v>9754680</v>
      </c>
      <c r="C31" s="109">
        <f>E31*C27</f>
        <v>11705616</v>
      </c>
      <c r="D31" s="109">
        <f>E31*D27</f>
        <v>14106768</v>
      </c>
      <c r="E31" s="127">
        <f>'حق بیمه برای رده سنی مبنا'!J16</f>
        <v>15007200</v>
      </c>
      <c r="F31" s="109">
        <f>E31*F27</f>
        <v>17258280</v>
      </c>
      <c r="G31" s="111">
        <f>E31*G27</f>
        <v>20259720</v>
      </c>
      <c r="H31" s="112">
        <f>E31*H27</f>
        <v>22510800</v>
      </c>
    </row>
    <row r="32" spans="1:8" s="92" customFormat="1" ht="14.25" customHeight="1" thickTop="1" thickBot="1"/>
    <row r="33" spans="1:8" s="92" customFormat="1" ht="14.25" customHeight="1" thickTop="1" thickBot="1">
      <c r="A33" s="169" t="s">
        <v>52</v>
      </c>
      <c r="B33" s="170"/>
      <c r="C33" s="170"/>
      <c r="D33" s="170"/>
      <c r="E33" s="170"/>
      <c r="F33" s="170"/>
      <c r="G33" s="170"/>
      <c r="H33" s="171"/>
    </row>
    <row r="34" spans="1:8" s="92" customFormat="1" ht="14.25" customHeight="1" thickTop="1">
      <c r="A34" s="113" t="s">
        <v>19</v>
      </c>
      <c r="B34" s="114" t="s">
        <v>20</v>
      </c>
      <c r="C34" s="114" t="s">
        <v>21</v>
      </c>
      <c r="D34" s="114" t="s">
        <v>22</v>
      </c>
      <c r="E34" s="115" t="s">
        <v>23</v>
      </c>
      <c r="F34" s="114" t="s">
        <v>24</v>
      </c>
      <c r="G34" s="116" t="s">
        <v>25</v>
      </c>
      <c r="H34" s="117" t="s">
        <v>26</v>
      </c>
    </row>
    <row r="35" spans="1:8" s="92" customFormat="1" ht="14.25" customHeight="1">
      <c r="A35" s="118" t="s">
        <v>27</v>
      </c>
      <c r="B35" s="99" t="s">
        <v>28</v>
      </c>
      <c r="C35" s="99" t="s">
        <v>29</v>
      </c>
      <c r="D35" s="99" t="s">
        <v>30</v>
      </c>
      <c r="E35" s="100">
        <v>1</v>
      </c>
      <c r="F35" s="99" t="s">
        <v>31</v>
      </c>
      <c r="G35" s="101" t="s">
        <v>32</v>
      </c>
      <c r="H35" s="119" t="s">
        <v>33</v>
      </c>
    </row>
    <row r="36" spans="1:8" s="92" customFormat="1" ht="14.25" customHeight="1">
      <c r="A36" s="120" t="s">
        <v>1</v>
      </c>
      <c r="B36" s="104">
        <f>E36*B35</f>
        <v>2424981</v>
      </c>
      <c r="C36" s="104">
        <f>E36*C35</f>
        <v>2909977.2</v>
      </c>
      <c r="D36" s="104">
        <f>E36*D35</f>
        <v>3506895.5999999996</v>
      </c>
      <c r="E36" s="128">
        <f>'حق بیمه برای رده سنی مبنا'!D21</f>
        <v>3730740</v>
      </c>
      <c r="F36" s="104">
        <f>E36*F35</f>
        <v>4290351</v>
      </c>
      <c r="G36" s="106">
        <f>E36*G35</f>
        <v>5036499</v>
      </c>
      <c r="H36" s="107">
        <f>E36*H35</f>
        <v>5596110</v>
      </c>
    </row>
    <row r="37" spans="1:8" s="92" customFormat="1" ht="14.25" customHeight="1">
      <c r="A37" s="120" t="s">
        <v>3</v>
      </c>
      <c r="B37" s="104">
        <f>E37*B35</f>
        <v>3791853</v>
      </c>
      <c r="C37" s="104">
        <f>E37*C35</f>
        <v>4550223.6000000006</v>
      </c>
      <c r="D37" s="104">
        <f>E37*D35</f>
        <v>5483602.7999999998</v>
      </c>
      <c r="E37" s="128">
        <f>'حق بیمه برای رده سنی مبنا'!F21</f>
        <v>5833620</v>
      </c>
      <c r="F37" s="104">
        <f>E37*F35</f>
        <v>6708662.9999999991</v>
      </c>
      <c r="G37" s="106">
        <f>E37*G35</f>
        <v>7875387.0000000009</v>
      </c>
      <c r="H37" s="107">
        <f>E37*H35</f>
        <v>8750430</v>
      </c>
    </row>
    <row r="38" spans="1:8" s="92" customFormat="1" ht="14.25" customHeight="1">
      <c r="A38" s="120" t="s">
        <v>4</v>
      </c>
      <c r="B38" s="104">
        <f>E38*B35</f>
        <v>6782139</v>
      </c>
      <c r="C38" s="104">
        <f>E38*C35</f>
        <v>8138566.7999999998</v>
      </c>
      <c r="D38" s="104">
        <f>E38*D35</f>
        <v>9808016.4000000004</v>
      </c>
      <c r="E38" s="128">
        <f>'حق بیمه برای رده سنی مبنا'!H21</f>
        <v>10434060</v>
      </c>
      <c r="F38" s="104">
        <f>E38*F35</f>
        <v>11999169</v>
      </c>
      <c r="G38" s="106">
        <f>E38*G35</f>
        <v>14085981</v>
      </c>
      <c r="H38" s="107">
        <f>E38*H35</f>
        <v>15651090</v>
      </c>
    </row>
    <row r="39" spans="1:8" s="92" customFormat="1" ht="14.25" customHeight="1" thickBot="1">
      <c r="A39" s="122" t="s">
        <v>34</v>
      </c>
      <c r="B39" s="109">
        <f>E39*B35</f>
        <v>11179350</v>
      </c>
      <c r="C39" s="109">
        <f>E39*C35</f>
        <v>13415220</v>
      </c>
      <c r="D39" s="109">
        <f>E39*D35</f>
        <v>16167060</v>
      </c>
      <c r="E39" s="129">
        <f>'حق بیمه برای رده سنی مبنا'!J21</f>
        <v>17199000</v>
      </c>
      <c r="F39" s="109">
        <f>E39*F35</f>
        <v>19778850</v>
      </c>
      <c r="G39" s="111">
        <f>E39*G35</f>
        <v>23218650</v>
      </c>
      <c r="H39" s="112">
        <f>E39*H35</f>
        <v>25798500</v>
      </c>
    </row>
    <row r="40" spans="1:8" s="92" customFormat="1" ht="14.25" customHeight="1" thickTop="1" thickBot="1"/>
    <row r="41" spans="1:8" s="92" customFormat="1" ht="14.25" customHeight="1" thickTop="1" thickBot="1">
      <c r="A41" s="169" t="s">
        <v>53</v>
      </c>
      <c r="B41" s="170"/>
      <c r="C41" s="170"/>
      <c r="D41" s="170"/>
      <c r="E41" s="170"/>
      <c r="F41" s="170"/>
      <c r="G41" s="170"/>
      <c r="H41" s="171"/>
    </row>
    <row r="42" spans="1:8" s="92" customFormat="1" ht="14.25" customHeight="1" thickTop="1">
      <c r="A42" s="113" t="s">
        <v>19</v>
      </c>
      <c r="B42" s="114" t="s">
        <v>20</v>
      </c>
      <c r="C42" s="114" t="s">
        <v>21</v>
      </c>
      <c r="D42" s="114" t="s">
        <v>22</v>
      </c>
      <c r="E42" s="115" t="s">
        <v>23</v>
      </c>
      <c r="F42" s="114" t="s">
        <v>24</v>
      </c>
      <c r="G42" s="116" t="s">
        <v>25</v>
      </c>
      <c r="H42" s="117" t="s">
        <v>26</v>
      </c>
    </row>
    <row r="43" spans="1:8" s="92" customFormat="1" ht="14.25" customHeight="1">
      <c r="A43" s="118" t="s">
        <v>27</v>
      </c>
      <c r="B43" s="99" t="s">
        <v>28</v>
      </c>
      <c r="C43" s="99" t="s">
        <v>29</v>
      </c>
      <c r="D43" s="99" t="s">
        <v>30</v>
      </c>
      <c r="E43" s="100">
        <v>1</v>
      </c>
      <c r="F43" s="99" t="s">
        <v>31</v>
      </c>
      <c r="G43" s="101" t="s">
        <v>32</v>
      </c>
      <c r="H43" s="119" t="s">
        <v>33</v>
      </c>
    </row>
    <row r="44" spans="1:8" s="92" customFormat="1" ht="14.25" customHeight="1">
      <c r="A44" s="120" t="s">
        <v>1</v>
      </c>
      <c r="B44" s="104">
        <f>E44*B43</f>
        <v>2252601</v>
      </c>
      <c r="C44" s="104">
        <f>E44*C43</f>
        <v>2703121.2</v>
      </c>
      <c r="D44" s="104">
        <f>E44*D43</f>
        <v>3257607.5999999996</v>
      </c>
      <c r="E44" s="130">
        <f>'حق بیمه برای رده سنی مبنا'!D22</f>
        <v>3465540</v>
      </c>
      <c r="F44" s="104">
        <f>E44*F43</f>
        <v>3985370.9999999995</v>
      </c>
      <c r="G44" s="106">
        <f>E44*G43</f>
        <v>4678479</v>
      </c>
      <c r="H44" s="107">
        <f>E44*H43</f>
        <v>5198310</v>
      </c>
    </row>
    <row r="45" spans="1:8" s="92" customFormat="1" ht="14.25" customHeight="1">
      <c r="A45" s="120" t="s">
        <v>3</v>
      </c>
      <c r="B45" s="104">
        <f>E45*B43</f>
        <v>3447093</v>
      </c>
      <c r="C45" s="104">
        <f>E45*C43</f>
        <v>4136511.6</v>
      </c>
      <c r="D45" s="104">
        <f>E45*D43</f>
        <v>4985026.8</v>
      </c>
      <c r="E45" s="130">
        <f>'حق بیمه برای رده سنی مبنا'!F22</f>
        <v>5303220</v>
      </c>
      <c r="F45" s="104">
        <f>E45*F43</f>
        <v>6098702.9999999991</v>
      </c>
      <c r="G45" s="106">
        <f>E45*G43</f>
        <v>7159347.0000000009</v>
      </c>
      <c r="H45" s="107">
        <f>E45*H43</f>
        <v>7954830</v>
      </c>
    </row>
    <row r="46" spans="1:8" s="92" customFormat="1" ht="14.25" customHeight="1">
      <c r="A46" s="120" t="s">
        <v>4</v>
      </c>
      <c r="B46" s="104">
        <f>E46*B43</f>
        <v>5920239</v>
      </c>
      <c r="C46" s="104">
        <f>E46*C43</f>
        <v>7104286.7999999998</v>
      </c>
      <c r="D46" s="104">
        <f>E46*D43</f>
        <v>8561576.4000000004</v>
      </c>
      <c r="E46" s="130">
        <f>'حق بیمه برای رده سنی مبنا'!H22</f>
        <v>9108060</v>
      </c>
      <c r="F46" s="104">
        <f>E46*F43</f>
        <v>10474269</v>
      </c>
      <c r="G46" s="106">
        <f>E46*G43</f>
        <v>12295881</v>
      </c>
      <c r="H46" s="107">
        <f>E46*H43</f>
        <v>13662090</v>
      </c>
    </row>
    <row r="47" spans="1:8" s="92" customFormat="1" ht="14.25" customHeight="1" thickBot="1">
      <c r="A47" s="122" t="s">
        <v>34</v>
      </c>
      <c r="B47" s="109">
        <f>E47*B43</f>
        <v>8619000</v>
      </c>
      <c r="C47" s="109">
        <f>E47*C43</f>
        <v>10342800</v>
      </c>
      <c r="D47" s="109">
        <f>E47*D43</f>
        <v>12464400</v>
      </c>
      <c r="E47" s="131">
        <f>'حق بیمه برای رده سنی مبنا'!J22</f>
        <v>13260000</v>
      </c>
      <c r="F47" s="109">
        <f>E47*F43</f>
        <v>15248999.999999998</v>
      </c>
      <c r="G47" s="111">
        <f>E47*G43</f>
        <v>17901000</v>
      </c>
      <c r="H47" s="112">
        <f>E47*H43</f>
        <v>19890000</v>
      </c>
    </row>
    <row r="48" spans="1:8" s="92" customFormat="1" ht="14.25" customHeight="1" thickTop="1" thickBot="1"/>
    <row r="49" spans="1:8" s="92" customFormat="1" ht="14.25" customHeight="1" thickTop="1" thickBot="1">
      <c r="A49" s="169" t="s">
        <v>54</v>
      </c>
      <c r="B49" s="170"/>
      <c r="C49" s="170"/>
      <c r="D49" s="170"/>
      <c r="E49" s="170"/>
      <c r="F49" s="170"/>
      <c r="G49" s="170"/>
      <c r="H49" s="171"/>
    </row>
    <row r="50" spans="1:8" s="92" customFormat="1" ht="14.25" customHeight="1" thickTop="1">
      <c r="A50" s="113" t="s">
        <v>19</v>
      </c>
      <c r="B50" s="114" t="s">
        <v>20</v>
      </c>
      <c r="C50" s="114" t="s">
        <v>21</v>
      </c>
      <c r="D50" s="114" t="s">
        <v>22</v>
      </c>
      <c r="E50" s="115" t="s">
        <v>23</v>
      </c>
      <c r="F50" s="114" t="s">
        <v>24</v>
      </c>
      <c r="G50" s="116" t="s">
        <v>25</v>
      </c>
      <c r="H50" s="117" t="s">
        <v>26</v>
      </c>
    </row>
    <row r="51" spans="1:8" s="92" customFormat="1" ht="14.25" customHeight="1">
      <c r="A51" s="118" t="s">
        <v>27</v>
      </c>
      <c r="B51" s="99" t="s">
        <v>28</v>
      </c>
      <c r="C51" s="99" t="s">
        <v>29</v>
      </c>
      <c r="D51" s="99" t="s">
        <v>30</v>
      </c>
      <c r="E51" s="100">
        <v>1</v>
      </c>
      <c r="F51" s="99" t="s">
        <v>31</v>
      </c>
      <c r="G51" s="101" t="s">
        <v>32</v>
      </c>
      <c r="H51" s="119" t="s">
        <v>33</v>
      </c>
    </row>
    <row r="52" spans="1:8" s="92" customFormat="1" ht="14.25" customHeight="1">
      <c r="A52" s="120" t="s">
        <v>1</v>
      </c>
      <c r="B52" s="104">
        <f>E52*B51</f>
        <v>3215901</v>
      </c>
      <c r="C52" s="104">
        <f>E52*C51</f>
        <v>3859081.2</v>
      </c>
      <c r="D52" s="104">
        <f>E52*D51</f>
        <v>4650687.5999999996</v>
      </c>
      <c r="E52" s="132">
        <f>'حق بیمه برای رده سنی مبنا'!D23</f>
        <v>4947540</v>
      </c>
      <c r="F52" s="104">
        <f>E52*F51</f>
        <v>5689671</v>
      </c>
      <c r="G52" s="106">
        <f>E52*G51</f>
        <v>6679179</v>
      </c>
      <c r="H52" s="107">
        <f>E52*H51</f>
        <v>7421310</v>
      </c>
    </row>
    <row r="53" spans="1:8" s="92" customFormat="1" ht="14.25" customHeight="1">
      <c r="A53" s="120" t="s">
        <v>3</v>
      </c>
      <c r="B53" s="104">
        <f>E53*B51</f>
        <v>5069493</v>
      </c>
      <c r="C53" s="104">
        <f>E53*C51</f>
        <v>6083391.6000000006</v>
      </c>
      <c r="D53" s="104">
        <f>E53*D51</f>
        <v>7331266.7999999998</v>
      </c>
      <c r="E53" s="132">
        <f>'حق بیمه برای رده سنی مبنا'!F23</f>
        <v>7799220</v>
      </c>
      <c r="F53" s="104">
        <f>E53*F51</f>
        <v>8969103</v>
      </c>
      <c r="G53" s="106">
        <f>E53*G51</f>
        <v>10528947</v>
      </c>
      <c r="H53" s="107">
        <f>E53*H51</f>
        <v>11698830</v>
      </c>
    </row>
    <row r="54" spans="1:8" s="92" customFormat="1" ht="14.25" customHeight="1">
      <c r="A54" s="120" t="s">
        <v>4</v>
      </c>
      <c r="B54" s="104">
        <f>E54*B51</f>
        <v>9367839</v>
      </c>
      <c r="C54" s="104">
        <f>E54*C51</f>
        <v>11241406.800000001</v>
      </c>
      <c r="D54" s="104">
        <f>E54*D51</f>
        <v>13547336.399999999</v>
      </c>
      <c r="E54" s="132">
        <f>'حق بیمه برای رده سنی مبنا'!H23</f>
        <v>14412060</v>
      </c>
      <c r="F54" s="104">
        <f>E54*F51</f>
        <v>16573868.999999998</v>
      </c>
      <c r="G54" s="106">
        <f>E54*G51</f>
        <v>19456281</v>
      </c>
      <c r="H54" s="107">
        <f>E54*H51</f>
        <v>21618090</v>
      </c>
    </row>
    <row r="55" spans="1:8" s="92" customFormat="1" ht="14.25" customHeight="1" thickBot="1">
      <c r="A55" s="122" t="s">
        <v>34</v>
      </c>
      <c r="B55" s="109">
        <f>E55*B51</f>
        <v>14824680</v>
      </c>
      <c r="C55" s="109">
        <f>E55*C51</f>
        <v>17789616</v>
      </c>
      <c r="D55" s="109">
        <f>E55*D51</f>
        <v>21438768</v>
      </c>
      <c r="E55" s="133">
        <f>'حق بیمه برای رده سنی مبنا'!J23</f>
        <v>22807200</v>
      </c>
      <c r="F55" s="109">
        <f>E55*F51</f>
        <v>26228279.999999996</v>
      </c>
      <c r="G55" s="111">
        <f>E55*G51</f>
        <v>30789720.000000004</v>
      </c>
      <c r="H55" s="112">
        <f>E55*H51</f>
        <v>34210800</v>
      </c>
    </row>
    <row r="56" spans="1:8" ht="15.75" thickTop="1"/>
  </sheetData>
  <mergeCells count="7">
    <mergeCell ref="A1:H1"/>
    <mergeCell ref="A33:H33"/>
    <mergeCell ref="A41:H41"/>
    <mergeCell ref="A49:H49"/>
    <mergeCell ref="A9:H9"/>
    <mergeCell ref="A17:H17"/>
    <mergeCell ref="A25:H25"/>
  </mergeCells>
  <pageMargins left="0.7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2"/>
  <sheetViews>
    <sheetView rightToLeft="1" tabSelected="1" topLeftCell="C1" workbookViewId="0">
      <selection activeCell="C5" sqref="C5"/>
    </sheetView>
  </sheetViews>
  <sheetFormatPr defaultRowHeight="15"/>
  <cols>
    <col min="1" max="1" width="8.28515625" hidden="1" customWidth="1"/>
    <col min="2" max="2" width="7.140625" hidden="1" customWidth="1"/>
    <col min="3" max="3" width="14.28515625" customWidth="1"/>
    <col min="4" max="4" width="13.42578125" customWidth="1"/>
    <col min="5" max="5" width="9.140625" hidden="1" customWidth="1"/>
    <col min="6" max="6" width="0.140625" customWidth="1"/>
    <col min="7" max="7" width="12.7109375" hidden="1" customWidth="1"/>
    <col min="8" max="8" width="10" hidden="1" customWidth="1"/>
    <col min="9" max="9" width="14.5703125" customWidth="1"/>
    <col min="10" max="10" width="14.7109375" customWidth="1"/>
  </cols>
  <sheetData>
    <row r="1" spans="1:10">
      <c r="A1" s="17"/>
      <c r="B1" s="17"/>
      <c r="C1" s="17"/>
      <c r="D1" s="17"/>
      <c r="E1" s="17"/>
      <c r="F1" s="17"/>
      <c r="G1" s="17"/>
      <c r="H1" s="17"/>
      <c r="I1" s="17"/>
      <c r="J1" s="17"/>
    </row>
    <row r="2" spans="1:10" ht="63">
      <c r="A2" s="17">
        <v>60000</v>
      </c>
      <c r="B2" s="17"/>
      <c r="C2" s="134" t="s">
        <v>55</v>
      </c>
      <c r="D2" s="135" t="s">
        <v>56</v>
      </c>
      <c r="E2" s="135" t="s">
        <v>57</v>
      </c>
      <c r="F2" s="135"/>
      <c r="G2" s="136" t="s">
        <v>58</v>
      </c>
      <c r="H2" s="137" t="s">
        <v>59</v>
      </c>
      <c r="I2" s="149" t="s">
        <v>63</v>
      </c>
      <c r="J2" s="149" t="s">
        <v>64</v>
      </c>
    </row>
    <row r="3" spans="1:10" ht="18">
      <c r="A3" s="17">
        <f>C3+C4+C5+C6+C7+C8+C9+C10+C11+C12</f>
        <v>5547392</v>
      </c>
      <c r="B3" s="17"/>
      <c r="C3" s="138">
        <v>2773696</v>
      </c>
      <c r="D3" s="139">
        <v>5</v>
      </c>
      <c r="E3" s="139">
        <v>5</v>
      </c>
      <c r="F3" s="139"/>
      <c r="G3" s="140">
        <f>A3*A4</f>
        <v>5299978.3168000001</v>
      </c>
      <c r="H3" s="141">
        <f>G3*(D9/100)</f>
        <v>476998.04851200001</v>
      </c>
      <c r="I3" s="142">
        <f>(G3+H3)*0.9</f>
        <v>5199278.7287807995</v>
      </c>
      <c r="J3" s="142">
        <f>G4+H4</f>
        <v>5744324.4159999993</v>
      </c>
    </row>
    <row r="4" spans="1:10" ht="21">
      <c r="A4" s="17">
        <f>1-(A11/100)</f>
        <v>0.95540000000000003</v>
      </c>
      <c r="B4" s="17">
        <v>0</v>
      </c>
      <c r="C4" s="138">
        <v>2773696</v>
      </c>
      <c r="D4" s="172" t="s">
        <v>57</v>
      </c>
      <c r="E4" s="143"/>
      <c r="F4" s="143"/>
      <c r="G4" s="140">
        <f>A3*A5</f>
        <v>5270022.3999999994</v>
      </c>
      <c r="H4" s="141">
        <f>G4*(D9/100)</f>
        <v>474302.01599999995</v>
      </c>
      <c r="I4" s="142"/>
      <c r="J4" s="144"/>
    </row>
    <row r="5" spans="1:10" ht="21">
      <c r="A5" s="17">
        <f>1-((D3+D6)/100)</f>
        <v>0.95</v>
      </c>
      <c r="B5" s="17">
        <v>4.46</v>
      </c>
      <c r="C5" s="138"/>
      <c r="D5" s="173"/>
      <c r="E5" s="143"/>
      <c r="F5" s="143"/>
      <c r="G5" s="143"/>
      <c r="H5" s="143"/>
      <c r="I5" s="144" t="s">
        <v>60</v>
      </c>
      <c r="J5" s="142">
        <f>(0.25*G4)+H4</f>
        <v>1791807.6159999999</v>
      </c>
    </row>
    <row r="6" spans="1:10" ht="21">
      <c r="A6" s="17"/>
      <c r="B6" s="17">
        <v>10</v>
      </c>
      <c r="C6" s="138"/>
      <c r="D6" s="145">
        <v>0</v>
      </c>
      <c r="E6" s="143"/>
      <c r="F6" s="143"/>
      <c r="G6" s="143"/>
      <c r="H6" s="143"/>
      <c r="I6" s="142"/>
      <c r="J6" s="144"/>
    </row>
    <row r="7" spans="1:10" ht="24" customHeight="1">
      <c r="A7" s="17"/>
      <c r="B7" s="17">
        <v>5</v>
      </c>
      <c r="C7" s="138"/>
      <c r="D7" s="174" t="s">
        <v>61</v>
      </c>
      <c r="E7" s="143"/>
      <c r="F7" s="143"/>
      <c r="G7" s="143"/>
      <c r="H7" s="143"/>
      <c r="I7" s="176" t="s">
        <v>62</v>
      </c>
      <c r="J7" s="178">
        <f>(0.75*G4)/3</f>
        <v>1317505.5999999999</v>
      </c>
    </row>
    <row r="8" spans="1:10" ht="24" customHeight="1">
      <c r="A8" s="17">
        <f>IF(D3+D6=0,B4,B4)</f>
        <v>0</v>
      </c>
      <c r="B8" s="17"/>
      <c r="C8" s="146"/>
      <c r="D8" s="175"/>
      <c r="E8" s="147"/>
      <c r="F8" s="147"/>
      <c r="G8" s="147"/>
      <c r="H8" s="147"/>
      <c r="I8" s="177"/>
      <c r="J8" s="178"/>
    </row>
    <row r="9" spans="1:10" ht="18">
      <c r="A9" s="17">
        <f>IF(D3+D6=5,B5,0)</f>
        <v>4.46</v>
      </c>
      <c r="B9" s="17"/>
      <c r="C9" s="146"/>
      <c r="D9" s="148">
        <v>9</v>
      </c>
      <c r="E9" s="147"/>
      <c r="F9" s="147"/>
      <c r="G9" s="147"/>
      <c r="H9" s="147"/>
      <c r="I9" s="147"/>
      <c r="J9" s="147"/>
    </row>
    <row r="10" spans="1:10" ht="18">
      <c r="A10" s="17">
        <f>IF(D3+D6=10,B6,B4)</f>
        <v>0</v>
      </c>
      <c r="B10" s="17"/>
      <c r="C10" s="146"/>
      <c r="D10" s="147"/>
      <c r="E10" s="147"/>
      <c r="F10" s="147"/>
      <c r="G10" s="147"/>
      <c r="H10" s="147"/>
      <c r="I10" s="147"/>
      <c r="J10" s="147"/>
    </row>
    <row r="11" spans="1:10" ht="18">
      <c r="A11" s="17">
        <f>A8+A9+A10</f>
        <v>4.46</v>
      </c>
      <c r="B11" s="17"/>
      <c r="C11" s="146"/>
      <c r="D11" s="147"/>
      <c r="E11" s="147"/>
      <c r="F11" s="147"/>
      <c r="G11" s="147"/>
      <c r="H11" s="147"/>
      <c r="I11" s="147"/>
      <c r="J11" s="147"/>
    </row>
    <row r="12" spans="1:10" ht="18">
      <c r="A12" s="17"/>
      <c r="B12" s="17"/>
      <c r="C12" s="146"/>
      <c r="D12" s="147"/>
      <c r="E12" s="147"/>
      <c r="F12" s="147"/>
      <c r="G12" s="147"/>
      <c r="H12" s="147"/>
      <c r="I12" s="147"/>
      <c r="J12" s="147"/>
    </row>
  </sheetData>
  <sheetProtection formatCells="0" formatColumns="0" formatRows="0" insertColumns="0" insertRows="0" insertHyperlinks="0" deleteColumns="0" deleteRows="0" selectLockedCells="1" sort="0" autoFilter="0" pivotTables="0" selectUnlockedCells="1"/>
  <mergeCells count="4">
    <mergeCell ref="D4:D5"/>
    <mergeCell ref="D7:D8"/>
    <mergeCell ref="I7:I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حق بیمه برای رده سنی مبنا</vt:lpstr>
      <vt:lpstr>جدول رده سنی</vt:lpstr>
      <vt:lpstr>محاسبه حق بیمه نقدی و اقساطی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2015-05-07T19:37:03Z</dcterms:modified>
</cp:coreProperties>
</file>