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man\Desktop\"/>
    </mc:Choice>
  </mc:AlternateContent>
  <bookViews>
    <workbookView xWindow="0" yWindow="0" windowWidth="19440" windowHeight="12240"/>
  </bookViews>
  <sheets>
    <sheet name="Calculation Sheet" sheetId="1" r:id="rId1"/>
    <sheet name="Corner Gusset plate" sheetId="3" r:id="rId2"/>
    <sheet name="Section Table" sheetId="2" r:id="rId3"/>
  </sheets>
  <definedNames>
    <definedName name="no">'Calculation Sheet'!$D$8</definedName>
    <definedName name="_xlnm.Print_Area" localSheetId="0">'Calculation Sheet'!$B$1:$Q$65</definedName>
    <definedName name="_xlnm.Print_Area" localSheetId="1">'Corner Gusset plate'!$B$1:$Q$130</definedName>
    <definedName name="type">'Calculation Sheet'!$C$8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3" i="3" l="1"/>
  <c r="C15" i="3" l="1"/>
  <c r="D61" i="3" l="1"/>
  <c r="T54" i="3"/>
  <c r="F30" i="3" l="1"/>
  <c r="F29" i="3"/>
  <c r="B27" i="3"/>
  <c r="B25" i="3"/>
  <c r="B23" i="3"/>
  <c r="C18" i="3" l="1"/>
  <c r="D23" i="3"/>
  <c r="D25" i="3"/>
  <c r="D27" i="3"/>
  <c r="E27" i="3" s="1"/>
  <c r="G25" i="3" l="1"/>
  <c r="E25" i="3"/>
  <c r="E23" i="3"/>
  <c r="G23" i="3"/>
  <c r="G27" i="3"/>
  <c r="B7" i="3"/>
  <c r="D10" i="3"/>
  <c r="I52" i="3" l="1"/>
  <c r="I43" i="3"/>
  <c r="I34" i="3"/>
  <c r="AF2" i="1"/>
  <c r="E15" i="1" l="1"/>
  <c r="S99" i="3" s="1"/>
  <c r="F20" i="1" l="1"/>
  <c r="E14" i="1" l="1"/>
  <c r="T75" i="3" s="1"/>
  <c r="P8" i="1"/>
  <c r="Q8" i="1"/>
  <c r="AM2" i="1" s="1"/>
  <c r="AK2" i="1"/>
  <c r="AJ2" i="1"/>
  <c r="AI2" i="1"/>
  <c r="L8" i="1"/>
  <c r="J8" i="1"/>
  <c r="C15" i="1" l="1"/>
  <c r="T19" i="1"/>
  <c r="T18" i="1"/>
  <c r="D29" i="1"/>
  <c r="I8" i="1"/>
  <c r="C21" i="3" s="1"/>
  <c r="B21" i="3" s="1"/>
  <c r="H8" i="1"/>
  <c r="AL2" i="1" s="1"/>
  <c r="AN2" i="1" s="1"/>
  <c r="AL4" i="1" s="1"/>
  <c r="M8" i="1" s="1"/>
  <c r="N8" i="1" s="1"/>
  <c r="G8" i="1"/>
  <c r="F8" i="1"/>
  <c r="E8" i="1"/>
  <c r="D21" i="3" l="1"/>
  <c r="E21" i="3" s="1"/>
  <c r="K8" i="1"/>
  <c r="E8" i="3"/>
  <c r="E49" i="1"/>
  <c r="D8" i="3"/>
  <c r="E47" i="1"/>
  <c r="D13" i="3" s="1"/>
  <c r="O8" i="1"/>
  <c r="G78" i="3" l="1"/>
  <c r="B103" i="3"/>
  <c r="S61" i="3"/>
  <c r="D94" i="3"/>
  <c r="E37" i="3"/>
  <c r="D96" i="3" s="1"/>
  <c r="E55" i="3"/>
  <c r="T53" i="3" s="1"/>
  <c r="E46" i="3"/>
  <c r="G21" i="3"/>
  <c r="S30" i="1"/>
  <c r="F53" i="1" s="1"/>
  <c r="G53" i="1" s="1"/>
  <c r="B53" i="1"/>
  <c r="D32" i="1"/>
  <c r="G30" i="1" s="1"/>
  <c r="F56" i="1" s="1"/>
  <c r="U63" i="3" s="1"/>
  <c r="C64" i="3" s="1"/>
  <c r="S28" i="1"/>
  <c r="D44" i="1" s="1"/>
  <c r="F44" i="1" s="1"/>
  <c r="D103" i="3" l="1"/>
  <c r="C103" i="3" s="1"/>
  <c r="E103" i="3" s="1"/>
  <c r="D75" i="3"/>
  <c r="I78" i="3" s="1"/>
  <c r="H78" i="3" s="1"/>
  <c r="J78" i="3" s="1"/>
  <c r="E61" i="3"/>
  <c r="W60" i="3"/>
  <c r="T52" i="3"/>
  <c r="E58" i="3" s="1"/>
  <c r="C61" i="3"/>
  <c r="F40" i="1"/>
  <c r="D35" i="1"/>
  <c r="T21" i="1" s="1"/>
  <c r="F61" i="3" l="1"/>
  <c r="P64" i="3"/>
  <c r="I63" i="3"/>
  <c r="J36" i="1"/>
  <c r="T20" i="1"/>
  <c r="L36" i="1" s="1"/>
  <c r="E38" i="1" s="1"/>
  <c r="D40" i="1" s="1"/>
  <c r="E40" i="1" s="1"/>
  <c r="W62" i="3" l="1"/>
  <c r="W61" i="3"/>
  <c r="J64" i="3" l="1"/>
  <c r="P18" i="3" s="1"/>
</calcChain>
</file>

<file path=xl/sharedStrings.xml><?xml version="1.0" encoding="utf-8"?>
<sst xmlns="http://schemas.openxmlformats.org/spreadsheetml/2006/main" count="223" uniqueCount="143">
  <si>
    <t>Steel X - Brace Calculation</t>
  </si>
  <si>
    <t>Issue:</t>
  </si>
  <si>
    <t>Design</t>
  </si>
  <si>
    <t>Page</t>
  </si>
  <si>
    <t>Date:</t>
  </si>
  <si>
    <t>Revised by:</t>
  </si>
  <si>
    <t>Checked by:</t>
  </si>
  <si>
    <t>LRFD</t>
  </si>
  <si>
    <t>Project:</t>
  </si>
  <si>
    <t>Input Data</t>
  </si>
  <si>
    <t>Section</t>
  </si>
  <si>
    <t>d</t>
  </si>
  <si>
    <r>
      <t>b</t>
    </r>
    <r>
      <rPr>
        <b/>
        <sz val="8"/>
        <rFont val="Times New Roman"/>
        <family val="1"/>
      </rPr>
      <t>f</t>
    </r>
  </si>
  <si>
    <r>
      <t>t</t>
    </r>
    <r>
      <rPr>
        <b/>
        <sz val="8"/>
        <rFont val="Times New Roman"/>
        <family val="1"/>
      </rPr>
      <t>f</t>
    </r>
  </si>
  <si>
    <r>
      <t>t</t>
    </r>
    <r>
      <rPr>
        <b/>
        <sz val="8"/>
        <rFont val="Times New Roman"/>
        <family val="1"/>
      </rPr>
      <t>w</t>
    </r>
  </si>
  <si>
    <r>
      <t>e</t>
    </r>
    <r>
      <rPr>
        <b/>
        <sz val="8"/>
        <rFont val="Times New Roman"/>
        <family val="1"/>
      </rPr>
      <t>y</t>
    </r>
  </si>
  <si>
    <t>A</t>
  </si>
  <si>
    <r>
      <t>I</t>
    </r>
    <r>
      <rPr>
        <b/>
        <sz val="8"/>
        <rFont val="Times New Roman"/>
        <family val="1"/>
      </rPr>
      <t>xx</t>
    </r>
  </si>
  <si>
    <r>
      <t>I</t>
    </r>
    <r>
      <rPr>
        <b/>
        <sz val="8"/>
        <rFont val="Times New Roman"/>
        <family val="1"/>
      </rPr>
      <t>yy</t>
    </r>
  </si>
  <si>
    <r>
      <t>S</t>
    </r>
    <r>
      <rPr>
        <b/>
        <sz val="8"/>
        <rFont val="Times New Roman"/>
        <family val="1"/>
      </rPr>
      <t>xx</t>
    </r>
  </si>
  <si>
    <r>
      <t>S</t>
    </r>
    <r>
      <rPr>
        <b/>
        <sz val="8"/>
        <rFont val="Times New Roman"/>
        <family val="1"/>
      </rPr>
      <t>yy</t>
    </r>
  </si>
  <si>
    <r>
      <t>r</t>
    </r>
    <r>
      <rPr>
        <b/>
        <sz val="8"/>
        <rFont val="Times New Roman"/>
        <family val="1"/>
      </rPr>
      <t>xx</t>
    </r>
  </si>
  <si>
    <r>
      <t>r</t>
    </r>
    <r>
      <rPr>
        <b/>
        <sz val="8"/>
        <rFont val="Times New Roman"/>
        <family val="1"/>
      </rPr>
      <t>yy</t>
    </r>
  </si>
  <si>
    <r>
      <t>x</t>
    </r>
    <r>
      <rPr>
        <b/>
        <sz val="8"/>
        <rFont val="Times New Roman"/>
        <family val="1"/>
      </rPr>
      <t>m</t>
    </r>
  </si>
  <si>
    <t>CPA</t>
  </si>
  <si>
    <t>cm</t>
  </si>
  <si>
    <t>cm²</t>
  </si>
  <si>
    <t>cm4</t>
  </si>
  <si>
    <t>cm3</t>
  </si>
  <si>
    <t>UNP</t>
  </si>
  <si>
    <t>N</t>
  </si>
  <si>
    <t>No</t>
  </si>
  <si>
    <t>A (cm2)</t>
  </si>
  <si>
    <t>d (cm)</t>
  </si>
  <si>
    <t>tw (cm)</t>
  </si>
  <si>
    <t>bf (cm)</t>
  </si>
  <si>
    <t>tf (cm)</t>
  </si>
  <si>
    <t>Ix (cm4)</t>
  </si>
  <si>
    <t>Sx (cm3)</t>
  </si>
  <si>
    <t>rx (cm)</t>
  </si>
  <si>
    <t>Iy (cm4)</t>
  </si>
  <si>
    <t>ry (cm)</t>
  </si>
  <si>
    <t>Sy (cm3)</t>
  </si>
  <si>
    <t>ey (cm)</t>
  </si>
  <si>
    <t>xm (cm)</t>
  </si>
  <si>
    <t>A1</t>
  </si>
  <si>
    <t>Iy1</t>
  </si>
  <si>
    <t>ey</t>
  </si>
  <si>
    <t>bf</t>
  </si>
  <si>
    <t xml:space="preserve">xm </t>
  </si>
  <si>
    <t>Fy(St37)=</t>
  </si>
  <si>
    <t>Fy(St52)=</t>
  </si>
  <si>
    <t>E=2100000</t>
  </si>
  <si>
    <t>Output Data</t>
  </si>
  <si>
    <t>Lx=</t>
  </si>
  <si>
    <t>Ly=</t>
  </si>
  <si>
    <t>فولاد مصرفی</t>
  </si>
  <si>
    <t>مدول الاستیسیته</t>
  </si>
  <si>
    <t>طول دهانه</t>
  </si>
  <si>
    <t>ارتفاع طبقه</t>
  </si>
  <si>
    <t>طول مهاربند</t>
  </si>
  <si>
    <t>Kx=</t>
  </si>
  <si>
    <t>Ky=</t>
  </si>
  <si>
    <t>Pr=</t>
  </si>
  <si>
    <t>Tr=</t>
  </si>
  <si>
    <t>نیروی فشاری ضریب دار</t>
  </si>
  <si>
    <t>نیروی کششی ضریب دار</t>
  </si>
  <si>
    <t>ضریب لاغری حول محور x</t>
  </si>
  <si>
    <t>ضریب لاغری حول محور y</t>
  </si>
  <si>
    <t>ضریب لاغری حداکثر</t>
  </si>
  <si>
    <t>تنش کمانش بحرانی اولر در حالت الاستیک</t>
  </si>
  <si>
    <t>Design Axial Compression(subject 10[10-2-4-2-1])</t>
  </si>
  <si>
    <t>4.71(E/Fy)</t>
  </si>
  <si>
    <t>0.44Fy</t>
  </si>
  <si>
    <t>0.658(fy/Fe)Fy</t>
  </si>
  <si>
    <t>0.877Fe</t>
  </si>
  <si>
    <t>تنش ناشی از کمانش خمشی</t>
  </si>
  <si>
    <t>مقاومت فشاری طرح</t>
  </si>
  <si>
    <t>[10-2-3-1]</t>
  </si>
  <si>
    <t>[10-2-4-3]</t>
  </si>
  <si>
    <t>[10-2-4-4]</t>
  </si>
  <si>
    <t>[10-2-3-3]</t>
  </si>
  <si>
    <t>تسلیم کششی روی مقطع کل</t>
  </si>
  <si>
    <t>گسیختگی کششی روی مقطع کل</t>
  </si>
  <si>
    <t>Fu(St37)=</t>
  </si>
  <si>
    <t>Fu(St52)=</t>
  </si>
  <si>
    <t>[10-2-3-4]</t>
  </si>
  <si>
    <t>r1</t>
  </si>
  <si>
    <t>فاصله بین لقمه ها</t>
  </si>
  <si>
    <t>[10-2-4-4-2]</t>
  </si>
  <si>
    <t>Steel Corner GP Calculation</t>
  </si>
  <si>
    <t>نیروی طراحی اتصال</t>
  </si>
  <si>
    <t>زاویه مهاربند با افق</t>
  </si>
  <si>
    <t>t Br(mm)</t>
  </si>
  <si>
    <t>t B(mm)</t>
  </si>
  <si>
    <t>t Col(mm)</t>
  </si>
  <si>
    <t>t G(mm)</t>
  </si>
  <si>
    <t>D min</t>
  </si>
  <si>
    <t>D max</t>
  </si>
  <si>
    <t>ضخامت مهاربند</t>
  </si>
  <si>
    <t>ضخامت تیر</t>
  </si>
  <si>
    <t>ضخامت ستون</t>
  </si>
  <si>
    <t>ضخامت ورق اتصال</t>
  </si>
  <si>
    <t>β=</t>
  </si>
  <si>
    <t>نوع جوش:</t>
  </si>
  <si>
    <t>نوع الکترود مصرفی :</t>
  </si>
  <si>
    <t>a=</t>
  </si>
  <si>
    <t>b=</t>
  </si>
  <si>
    <t>Welding Strength[10-2-10-2-4]</t>
  </si>
  <si>
    <t>بعد جوش ورق و مهاربند</t>
  </si>
  <si>
    <t>بعد جوش ورق و تیر و ستون</t>
  </si>
  <si>
    <t>ارزش جوش</t>
  </si>
  <si>
    <t>محاسبه طول جوش ورق و مهاربند:</t>
  </si>
  <si>
    <t>n=</t>
  </si>
  <si>
    <t>تعداد خط جوش</t>
  </si>
  <si>
    <t>طول هر خط جوش</t>
  </si>
  <si>
    <t>محاسبه طول جوش ورق و تیر:</t>
  </si>
  <si>
    <t>محاسبه طول جوش ورق و ستون:</t>
  </si>
  <si>
    <t>ابعاد پیشنهادی جهت ورق بادبندی:</t>
  </si>
  <si>
    <t>(Hor)</t>
  </si>
  <si>
    <t>(Ver)</t>
  </si>
  <si>
    <t>(t)</t>
  </si>
  <si>
    <t>x</t>
  </si>
  <si>
    <t>mm</t>
  </si>
  <si>
    <t>طول جوش تقریبی تامین شده جهت اتصال بادبند به ورق بادبند:</t>
  </si>
  <si>
    <t>E60</t>
  </si>
  <si>
    <t>E70</t>
  </si>
  <si>
    <t>E80</t>
  </si>
  <si>
    <t>@</t>
  </si>
  <si>
    <t>PL</t>
  </si>
  <si>
    <t>.</t>
  </si>
  <si>
    <t>c/c</t>
  </si>
  <si>
    <t>لقمه</t>
  </si>
  <si>
    <t>Check For Tension[10-2-3]</t>
  </si>
  <si>
    <t>عرض ویتمور</t>
  </si>
  <si>
    <t xml:space="preserve">Beam &amp; Column </t>
  </si>
  <si>
    <t>کنترل کشش درسطح ویتمور</t>
  </si>
  <si>
    <t>کنترل گسیختگی قالبی</t>
  </si>
  <si>
    <t>مساحت ناحیه کششی</t>
  </si>
  <si>
    <t>مساحت ناحیه برشی</t>
  </si>
  <si>
    <t>kornesh.Co</t>
  </si>
  <si>
    <t>جوش در محل و بازرسی چشمی</t>
  </si>
  <si>
    <t xml:space="preserve">Imanrezaee35@yahoo.com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</si>
</sst>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5">
    <font>
      <sz val="9"/>
      <color theme="1"/>
      <name val="Calibri"/>
      <family val="2"/>
      <scheme val="minor"/>
    </font>
    <font>
      <sz val="8"/>
      <name val="Arial"/>
      <family val="2"/>
      <charset val="178"/>
    </font>
    <font>
      <sz val="8"/>
      <color indexed="10"/>
      <name val="Arial"/>
      <family val="2"/>
      <charset val="178"/>
    </font>
    <font>
      <sz val="8"/>
      <name val="Arial"/>
      <charset val="178"/>
    </font>
    <font>
      <b/>
      <sz val="8"/>
      <name val="Arial"/>
      <family val="2"/>
      <charset val="178"/>
    </font>
    <font>
      <sz val="10"/>
      <name val="Arial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1"/>
      <color theme="1"/>
      <name val="Calibri"/>
      <family val="2"/>
      <charset val="178"/>
      <scheme val="minor"/>
    </font>
    <font>
      <b/>
      <sz val="10"/>
      <color theme="1"/>
      <name val="Times New Roman"/>
      <family val="1"/>
    </font>
    <font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name val="Arial"/>
      <family val="2"/>
      <charset val="178"/>
    </font>
    <font>
      <b/>
      <sz val="9"/>
      <name val="Arial"/>
      <family val="2"/>
      <charset val="178"/>
    </font>
    <font>
      <sz val="9"/>
      <color indexed="10"/>
      <name val="Arial"/>
      <family val="2"/>
      <charset val="178"/>
    </font>
    <font>
      <b/>
      <sz val="8"/>
      <color theme="0"/>
      <name val="Arial"/>
      <family val="2"/>
    </font>
    <font>
      <sz val="8"/>
      <color theme="0"/>
      <name val="Arial"/>
      <family val="2"/>
      <charset val="178"/>
    </font>
    <font>
      <sz val="9"/>
      <color theme="1"/>
      <name val="Cambria"/>
      <family val="1"/>
    </font>
    <font>
      <sz val="9"/>
      <color rgb="FFFF0000"/>
      <name val="Cambria"/>
      <family val="1"/>
    </font>
    <font>
      <sz val="9"/>
      <name val="Cambria"/>
      <family val="1"/>
    </font>
    <font>
      <sz val="9"/>
      <color rgb="FF00B0F0"/>
      <name val="Cambria"/>
      <family val="1"/>
    </font>
    <font>
      <sz val="8"/>
      <name val="Cambria"/>
      <family val="1"/>
    </font>
    <font>
      <sz val="8"/>
      <color theme="1"/>
      <name val="Cambria"/>
      <family val="1"/>
    </font>
    <font>
      <i/>
      <sz val="8"/>
      <color theme="1"/>
      <name val="Cambria"/>
      <family val="1"/>
    </font>
    <font>
      <sz val="8"/>
      <color rgb="FFFF0000"/>
      <name val="Cambria"/>
      <family val="1"/>
    </font>
    <font>
      <sz val="7"/>
      <color theme="1"/>
      <name val="Calibri"/>
      <family val="2"/>
      <scheme val="minor"/>
    </font>
    <font>
      <sz val="7"/>
      <name val="Cambria"/>
      <family val="1"/>
    </font>
    <font>
      <sz val="7"/>
      <color rgb="FFFF0000"/>
      <name val="Cambria"/>
      <family val="1"/>
    </font>
    <font>
      <sz val="7"/>
      <color rgb="FF00B0F0"/>
      <name val="Cambria"/>
      <family val="1"/>
    </font>
    <font>
      <sz val="7"/>
      <color rgb="FFFF0000"/>
      <name val="Calibri"/>
      <family val="2"/>
      <scheme val="minor"/>
    </font>
    <font>
      <b/>
      <sz val="9"/>
      <color theme="1"/>
      <name val="GreekC"/>
    </font>
    <font>
      <sz val="8"/>
      <color rgb="FF00B0F0"/>
      <name val="Calibri"/>
      <family val="2"/>
      <scheme val="minor"/>
    </font>
    <font>
      <sz val="8"/>
      <color rgb="FF00B0F0"/>
      <name val="Cambria"/>
      <family val="1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theme="1"/>
      <name val="Cambria"/>
      <family val="1"/>
    </font>
    <font>
      <b/>
      <sz val="8"/>
      <color theme="1"/>
      <name val="Cambria"/>
      <family val="1"/>
    </font>
    <font>
      <sz val="10"/>
      <color rgb="FFFF0000"/>
      <name val="Cambria"/>
      <family val="1"/>
    </font>
    <font>
      <b/>
      <sz val="8"/>
      <name val="Cambria"/>
      <family val="1"/>
    </font>
    <font>
      <sz val="5"/>
      <color theme="1"/>
      <name val="Cambria"/>
      <family val="1"/>
    </font>
    <font>
      <b/>
      <sz val="9"/>
      <color rgb="FFFF0000"/>
      <name val="Cambria"/>
      <family val="1"/>
    </font>
    <font>
      <sz val="14"/>
      <color rgb="FFFF0000"/>
      <name val="Arial"/>
      <family val="2"/>
      <charset val="178"/>
    </font>
    <font>
      <u/>
      <sz val="9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9" fillId="0" borderId="0"/>
    <xf numFmtId="0" fontId="44" fillId="0" borderId="0" applyNumberFormat="0" applyFill="0" applyBorder="0" applyAlignment="0" applyProtection="0"/>
  </cellStyleXfs>
  <cellXfs count="291">
    <xf numFmtId="0" fontId="0" fillId="0" borderId="0" xfId="0"/>
    <xf numFmtId="0" fontId="4" fillId="0" borderId="0" xfId="0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protection hidden="1"/>
    </xf>
    <xf numFmtId="0" fontId="1" fillId="0" borderId="17" xfId="0" applyFont="1" applyBorder="1" applyAlignment="1" applyProtection="1">
      <protection hidden="1"/>
    </xf>
    <xf numFmtId="0" fontId="1" fillId="0" borderId="11" xfId="0" applyFont="1" applyBorder="1" applyAlignment="1" applyProtection="1">
      <protection hidden="1"/>
    </xf>
    <xf numFmtId="0" fontId="1" fillId="0" borderId="9" xfId="0" applyFont="1" applyBorder="1" applyAlignment="1" applyProtection="1">
      <protection hidden="1"/>
    </xf>
    <xf numFmtId="0" fontId="1" fillId="0" borderId="10" xfId="0" applyFont="1" applyBorder="1" applyAlignment="1" applyProtection="1">
      <protection hidden="1"/>
    </xf>
    <xf numFmtId="0" fontId="1" fillId="0" borderId="20" xfId="0" applyFont="1" applyBorder="1" applyAlignment="1" applyProtection="1">
      <protection hidden="1"/>
    </xf>
    <xf numFmtId="0" fontId="12" fillId="0" borderId="20" xfId="0" applyFont="1" applyBorder="1" applyAlignment="1" applyProtection="1">
      <protection hidden="1"/>
    </xf>
    <xf numFmtId="0" fontId="17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Border="1" applyProtection="1">
      <protection hidden="1"/>
    </xf>
    <xf numFmtId="0" fontId="11" fillId="0" borderId="0" xfId="0" applyFont="1" applyProtection="1">
      <protection hidden="1"/>
    </xf>
    <xf numFmtId="164" fontId="11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right"/>
      <protection hidden="1"/>
    </xf>
    <xf numFmtId="0" fontId="11" fillId="0" borderId="0" xfId="0" applyFont="1" applyAlignment="1" applyProtection="1">
      <protection hidden="1"/>
    </xf>
    <xf numFmtId="2" fontId="11" fillId="0" borderId="0" xfId="0" applyNumberFormat="1" applyFont="1" applyProtection="1">
      <protection hidden="1"/>
    </xf>
    <xf numFmtId="0" fontId="20" fillId="0" borderId="30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19" fillId="0" borderId="21" xfId="0" applyFont="1" applyBorder="1" applyAlignment="1" applyProtection="1">
      <protection hidden="1"/>
    </xf>
    <xf numFmtId="0" fontId="19" fillId="0" borderId="0" xfId="0" applyFont="1" applyBorder="1" applyAlignment="1" applyProtection="1">
      <protection hidden="1"/>
    </xf>
    <xf numFmtId="0" fontId="20" fillId="0" borderId="32" xfId="0" applyFont="1" applyBorder="1" applyAlignment="1" applyProtection="1">
      <alignment horizontal="center"/>
      <protection hidden="1"/>
    </xf>
    <xf numFmtId="0" fontId="20" fillId="0" borderId="28" xfId="0" applyFont="1" applyBorder="1" applyAlignment="1" applyProtection="1">
      <alignment horizontal="center"/>
      <protection hidden="1"/>
    </xf>
    <xf numFmtId="0" fontId="20" fillId="0" borderId="37" xfId="0" applyFont="1" applyBorder="1" applyAlignment="1" applyProtection="1">
      <alignment horizontal="center"/>
      <protection hidden="1"/>
    </xf>
    <xf numFmtId="2" fontId="19" fillId="0" borderId="21" xfId="0" applyNumberFormat="1" applyFont="1" applyBorder="1" applyAlignment="1" applyProtection="1">
      <protection hidden="1"/>
    </xf>
    <xf numFmtId="0" fontId="19" fillId="0" borderId="38" xfId="0" applyFont="1" applyBorder="1" applyAlignment="1" applyProtection="1">
      <protection hidden="1"/>
    </xf>
    <xf numFmtId="0" fontId="22" fillId="0" borderId="22" xfId="0" applyFont="1" applyBorder="1" applyAlignment="1" applyProtection="1">
      <protection hidden="1"/>
    </xf>
    <xf numFmtId="0" fontId="22" fillId="0" borderId="17" xfId="0" applyFont="1" applyBorder="1" applyAlignment="1" applyProtection="1">
      <protection hidden="1"/>
    </xf>
    <xf numFmtId="0" fontId="22" fillId="0" borderId="0" xfId="0" applyFont="1" applyBorder="1" applyAlignment="1" applyProtection="1">
      <protection hidden="1"/>
    </xf>
    <xf numFmtId="0" fontId="23" fillId="0" borderId="0" xfId="0" applyFont="1" applyBorder="1" applyAlignment="1" applyProtection="1">
      <alignment horizontal="right"/>
      <protection hidden="1"/>
    </xf>
    <xf numFmtId="0" fontId="23" fillId="0" borderId="0" xfId="0" applyFont="1" applyBorder="1" applyProtection="1">
      <protection hidden="1"/>
    </xf>
    <xf numFmtId="1" fontId="19" fillId="0" borderId="0" xfId="0" applyNumberFormat="1" applyFont="1" applyBorder="1" applyAlignment="1" applyProtection="1">
      <alignment horizontal="left" vertical="top"/>
      <protection hidden="1"/>
    </xf>
    <xf numFmtId="0" fontId="18" fillId="0" borderId="20" xfId="0" applyFont="1" applyBorder="1" applyProtection="1">
      <protection hidden="1"/>
    </xf>
    <xf numFmtId="0" fontId="18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23" fillId="0" borderId="0" xfId="0" applyFont="1" applyAlignment="1" applyProtection="1">
      <protection hidden="1"/>
    </xf>
    <xf numFmtId="0" fontId="23" fillId="0" borderId="17" xfId="0" applyFont="1" applyBorder="1" applyAlignment="1" applyProtection="1">
      <alignment horizontal="right"/>
      <protection hidden="1"/>
    </xf>
    <xf numFmtId="0" fontId="22" fillId="0" borderId="20" xfId="0" applyFont="1" applyBorder="1" applyAlignment="1" applyProtection="1">
      <protection hidden="1"/>
    </xf>
    <xf numFmtId="0" fontId="19" fillId="0" borderId="0" xfId="0" applyFont="1" applyProtection="1">
      <protection hidden="1"/>
    </xf>
    <xf numFmtId="0" fontId="23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left"/>
      <protection hidden="1"/>
    </xf>
    <xf numFmtId="0" fontId="20" fillId="0" borderId="20" xfId="0" applyFont="1" applyBorder="1" applyAlignment="1" applyProtection="1">
      <protection hidden="1"/>
    </xf>
    <xf numFmtId="2" fontId="25" fillId="0" borderId="0" xfId="0" applyNumberFormat="1" applyFont="1" applyAlignment="1" applyProtection="1">
      <alignment horizontal="left"/>
      <protection hidden="1"/>
    </xf>
    <xf numFmtId="0" fontId="18" fillId="0" borderId="0" xfId="0" applyFont="1" applyAlignment="1" applyProtection="1">
      <protection hidden="1"/>
    </xf>
    <xf numFmtId="0" fontId="20" fillId="0" borderId="17" xfId="0" applyFont="1" applyBorder="1" applyAlignment="1" applyProtection="1">
      <alignment horizontal="center"/>
      <protection hidden="1"/>
    </xf>
    <xf numFmtId="2" fontId="19" fillId="0" borderId="0" xfId="0" applyNumberFormat="1" applyFont="1" applyBorder="1" applyAlignment="1" applyProtection="1">
      <protection hidden="1"/>
    </xf>
    <xf numFmtId="0" fontId="19" fillId="0" borderId="17" xfId="0" applyFont="1" applyBorder="1" applyAlignment="1" applyProtection="1">
      <protection hidden="1"/>
    </xf>
    <xf numFmtId="0" fontId="20" fillId="0" borderId="20" xfId="0" applyFont="1" applyBorder="1" applyAlignment="1" applyProtection="1">
      <alignment horizontal="center"/>
      <protection hidden="1"/>
    </xf>
    <xf numFmtId="0" fontId="20" fillId="0" borderId="17" xfId="0" applyFont="1" applyBorder="1" applyAlignment="1" applyProtection="1">
      <protection hidden="1"/>
    </xf>
    <xf numFmtId="0" fontId="20" fillId="0" borderId="0" xfId="0" applyFont="1" applyBorder="1" applyAlignment="1" applyProtection="1">
      <protection hidden="1"/>
    </xf>
    <xf numFmtId="0" fontId="18" fillId="0" borderId="0" xfId="0" applyFont="1" applyFill="1" applyBorder="1" applyAlignment="1" applyProtection="1">
      <protection hidden="1"/>
    </xf>
    <xf numFmtId="0" fontId="18" fillId="0" borderId="17" xfId="0" applyFont="1" applyFill="1" applyBorder="1" applyAlignment="1" applyProtection="1">
      <protection hidden="1"/>
    </xf>
    <xf numFmtId="0" fontId="18" fillId="0" borderId="20" xfId="0" applyFont="1" applyBorder="1" applyAlignment="1" applyProtection="1">
      <protection hidden="1"/>
    </xf>
    <xf numFmtId="0" fontId="18" fillId="0" borderId="0" xfId="0" applyFont="1" applyBorder="1" applyAlignment="1" applyProtection="1">
      <protection hidden="1"/>
    </xf>
    <xf numFmtId="0" fontId="18" fillId="0" borderId="17" xfId="0" applyFont="1" applyBorder="1" applyAlignment="1" applyProtection="1">
      <protection hidden="1"/>
    </xf>
    <xf numFmtId="0" fontId="19" fillId="0" borderId="0" xfId="0" applyFont="1" applyBorder="1" applyAlignment="1" applyProtection="1">
      <alignment horizontal="left" vertical="center"/>
      <protection hidden="1"/>
    </xf>
    <xf numFmtId="0" fontId="27" fillId="0" borderId="14" xfId="0" applyFont="1" applyBorder="1" applyAlignment="1" applyProtection="1">
      <alignment horizontal="center" vertical="center"/>
      <protection hidden="1"/>
    </xf>
    <xf numFmtId="0" fontId="28" fillId="0" borderId="14" xfId="0" applyFont="1" applyBorder="1" applyAlignment="1" applyProtection="1">
      <alignment horizontal="center" vertical="center"/>
      <protection hidden="1"/>
    </xf>
    <xf numFmtId="0" fontId="18" fillId="0" borderId="20" xfId="0" applyFont="1" applyBorder="1" applyAlignment="1" applyProtection="1">
      <alignment horizontal="right"/>
      <protection hidden="1"/>
    </xf>
    <xf numFmtId="2" fontId="25" fillId="0" borderId="0" xfId="0" applyNumberFormat="1" applyFont="1" applyBorder="1" applyAlignment="1" applyProtection="1">
      <alignment horizontal="right"/>
      <protection hidden="1"/>
    </xf>
    <xf numFmtId="0" fontId="39" fillId="0" borderId="0" xfId="0" applyFont="1" applyBorder="1" applyAlignment="1" applyProtection="1">
      <alignment horizontal="center" vertical="center"/>
      <protection hidden="1"/>
    </xf>
    <xf numFmtId="164" fontId="25" fillId="0" borderId="0" xfId="0" applyNumberFormat="1" applyFont="1" applyBorder="1" applyAlignment="1" applyProtection="1">
      <alignment horizontal="center"/>
      <protection hidden="1"/>
    </xf>
    <xf numFmtId="0" fontId="25" fillId="0" borderId="0" xfId="0" applyFont="1" applyBorder="1" applyAlignment="1" applyProtection="1">
      <protection hidden="1"/>
    </xf>
    <xf numFmtId="0" fontId="25" fillId="0" borderId="20" xfId="0" applyFont="1" applyBorder="1" applyAlignment="1" applyProtection="1">
      <alignment horizontal="right"/>
      <protection hidden="1"/>
    </xf>
    <xf numFmtId="0" fontId="18" fillId="0" borderId="0" xfId="0" applyFont="1" applyAlignment="1" applyProtection="1">
      <alignment horizontal="right"/>
      <protection hidden="1"/>
    </xf>
    <xf numFmtId="164" fontId="25" fillId="0" borderId="0" xfId="0" applyNumberFormat="1" applyFont="1" applyAlignment="1" applyProtection="1">
      <alignment horizontal="left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6" fillId="0" borderId="0" xfId="1" applyFont="1" applyFill="1" applyBorder="1" applyAlignment="1" applyProtection="1">
      <alignment horizontal="center" vertical="center"/>
      <protection hidden="1"/>
    </xf>
    <xf numFmtId="0" fontId="18" fillId="0" borderId="33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right" vertical="center"/>
      <protection hidden="1"/>
    </xf>
    <xf numFmtId="0" fontId="24" fillId="0" borderId="0" xfId="0" applyFont="1" applyProtection="1">
      <protection hidden="1"/>
    </xf>
    <xf numFmtId="0" fontId="21" fillId="0" borderId="0" xfId="0" applyFont="1" applyAlignment="1" applyProtection="1">
      <alignment horizontal="left"/>
      <protection hidden="1"/>
    </xf>
    <xf numFmtId="0" fontId="18" fillId="0" borderId="0" xfId="0" applyFont="1" applyBorder="1" applyAlignment="1" applyProtection="1">
      <alignment horizontal="right"/>
      <protection hidden="1"/>
    </xf>
    <xf numFmtId="0" fontId="21" fillId="0" borderId="0" xfId="0" applyFont="1" applyBorder="1" applyAlignment="1" applyProtection="1">
      <alignment horizontal="left" vertical="center"/>
      <protection hidden="1"/>
    </xf>
    <xf numFmtId="0" fontId="18" fillId="0" borderId="0" xfId="0" applyFont="1" applyBorder="1" applyProtection="1">
      <protection hidden="1"/>
    </xf>
    <xf numFmtId="0" fontId="21" fillId="0" borderId="31" xfId="0" applyFont="1" applyBorder="1" applyAlignment="1" applyProtection="1">
      <alignment horizontal="center"/>
      <protection locked="0" hidden="1"/>
    </xf>
    <xf numFmtId="0" fontId="21" fillId="0" borderId="21" xfId="0" applyFont="1" applyBorder="1" applyAlignment="1" applyProtection="1">
      <alignment horizontal="center"/>
      <protection locked="0" hidden="1"/>
    </xf>
    <xf numFmtId="0" fontId="21" fillId="0" borderId="0" xfId="0" applyFont="1" applyAlignment="1" applyProtection="1">
      <alignment horizontal="left" vertical="center"/>
      <protection locked="0" hidden="1"/>
    </xf>
    <xf numFmtId="0" fontId="21" fillId="0" borderId="0" xfId="0" applyFont="1" applyAlignment="1" applyProtection="1">
      <alignment horizontal="left"/>
      <protection locked="0" hidden="1"/>
    </xf>
    <xf numFmtId="0" fontId="21" fillId="0" borderId="0" xfId="0" applyFont="1" applyBorder="1" applyAlignment="1" applyProtection="1">
      <alignment horizontal="left" vertical="center"/>
      <protection locked="0" hidden="1"/>
    </xf>
    <xf numFmtId="0" fontId="21" fillId="0" borderId="0" xfId="0" applyFont="1" applyBorder="1" applyAlignment="1" applyProtection="1">
      <alignment horizontal="left"/>
      <protection locked="0" hidden="1"/>
    </xf>
    <xf numFmtId="0" fontId="35" fillId="0" borderId="0" xfId="0" applyFont="1" applyProtection="1">
      <protection hidden="1"/>
    </xf>
    <xf numFmtId="0" fontId="35" fillId="0" borderId="20" xfId="0" applyFont="1" applyBorder="1" applyAlignment="1" applyProtection="1">
      <alignment vertical="center"/>
      <protection hidden="1"/>
    </xf>
    <xf numFmtId="0" fontId="35" fillId="0" borderId="0" xfId="0" applyFont="1" applyAlignment="1" applyProtection="1">
      <alignment horizontal="center"/>
      <protection hidden="1"/>
    </xf>
    <xf numFmtId="0" fontId="21" fillId="0" borderId="20" xfId="0" applyFont="1" applyBorder="1" applyAlignment="1" applyProtection="1">
      <alignment horizontal="center"/>
      <protection hidden="1"/>
    </xf>
    <xf numFmtId="0" fontId="21" fillId="0" borderId="0" xfId="0" applyFont="1" applyBorder="1" applyAlignment="1" applyProtection="1">
      <alignment horizontal="center"/>
      <protection hidden="1"/>
    </xf>
    <xf numFmtId="0" fontId="21" fillId="0" borderId="0" xfId="0" applyFont="1" applyBorder="1" applyAlignment="1" applyProtection="1">
      <protection hidden="1"/>
    </xf>
    <xf numFmtId="0" fontId="25" fillId="0" borderId="0" xfId="0" applyFont="1" applyAlignment="1" applyProtection="1">
      <alignment horizontal="center"/>
      <protection hidden="1"/>
    </xf>
    <xf numFmtId="0" fontId="31" fillId="0" borderId="20" xfId="0" applyFont="1" applyBorder="1" applyAlignment="1" applyProtection="1">
      <alignment horizontal="right" vertical="center"/>
      <protection hidden="1"/>
    </xf>
    <xf numFmtId="0" fontId="0" fillId="0" borderId="40" xfId="0" applyBorder="1" applyProtection="1">
      <protection hidden="1"/>
    </xf>
    <xf numFmtId="0" fontId="26" fillId="0" borderId="31" xfId="0" applyFont="1" applyBorder="1" applyAlignment="1" applyProtection="1">
      <alignment horizontal="center"/>
      <protection hidden="1"/>
    </xf>
    <xf numFmtId="0" fontId="26" fillId="0" borderId="21" xfId="0" applyFont="1" applyBorder="1" applyAlignment="1" applyProtection="1">
      <alignment horizontal="center"/>
      <protection hidden="1"/>
    </xf>
    <xf numFmtId="0" fontId="30" fillId="0" borderId="31" xfId="0" applyFont="1" applyBorder="1" applyAlignment="1" applyProtection="1">
      <alignment horizontal="center"/>
      <protection hidden="1"/>
    </xf>
    <xf numFmtId="0" fontId="30" fillId="0" borderId="21" xfId="0" applyFont="1" applyBorder="1" applyAlignment="1" applyProtection="1">
      <alignment horizontal="center"/>
      <protection hidden="1"/>
    </xf>
    <xf numFmtId="0" fontId="34" fillId="0" borderId="20" xfId="0" applyFont="1" applyBorder="1" applyAlignment="1" applyProtection="1">
      <alignment horizontal="right"/>
      <protection hidden="1"/>
    </xf>
    <xf numFmtId="0" fontId="23" fillId="0" borderId="20" xfId="0" applyFont="1" applyBorder="1" applyAlignment="1" applyProtection="1">
      <alignment horizontal="right"/>
      <protection hidden="1"/>
    </xf>
    <xf numFmtId="0" fontId="0" fillId="0" borderId="20" xfId="0" applyBorder="1" applyProtection="1">
      <protection hidden="1"/>
    </xf>
    <xf numFmtId="0" fontId="0" fillId="0" borderId="17" xfId="0" applyBorder="1" applyProtection="1">
      <protection hidden="1"/>
    </xf>
    <xf numFmtId="1" fontId="11" fillId="0" borderId="0" xfId="0" applyNumberFormat="1" applyFont="1" applyProtection="1"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8" fillId="0" borderId="17" xfId="0" applyFont="1" applyFill="1" applyBorder="1" applyAlignment="1" applyProtection="1">
      <alignment vertical="center"/>
      <protection hidden="1"/>
    </xf>
    <xf numFmtId="0" fontId="19" fillId="0" borderId="20" xfId="0" applyFont="1" applyFill="1" applyBorder="1" applyAlignment="1" applyProtection="1">
      <alignment vertical="center"/>
      <protection hidden="1"/>
    </xf>
    <xf numFmtId="0" fontId="19" fillId="0" borderId="17" xfId="0" applyFont="1" applyFill="1" applyBorder="1" applyAlignment="1" applyProtection="1">
      <alignment vertical="center"/>
      <protection hidden="1"/>
    </xf>
    <xf numFmtId="0" fontId="19" fillId="0" borderId="1" xfId="0" applyFont="1" applyFill="1" applyBorder="1" applyAlignment="1" applyProtection="1">
      <alignment vertical="center"/>
      <protection hidden="1"/>
    </xf>
    <xf numFmtId="0" fontId="19" fillId="0" borderId="2" xfId="0" applyFont="1" applyFill="1" applyBorder="1" applyAlignment="1" applyProtection="1">
      <alignment vertical="center"/>
      <protection hidden="1"/>
    </xf>
    <xf numFmtId="0" fontId="19" fillId="0" borderId="9" xfId="0" applyFont="1" applyFill="1" applyBorder="1" applyAlignment="1" applyProtection="1">
      <alignment vertical="center"/>
      <protection hidden="1"/>
    </xf>
    <xf numFmtId="0" fontId="19" fillId="0" borderId="10" xfId="0" applyFont="1" applyFill="1" applyBorder="1" applyAlignment="1" applyProtection="1">
      <alignment vertical="center"/>
      <protection hidden="1"/>
    </xf>
    <xf numFmtId="0" fontId="19" fillId="0" borderId="11" xfId="0" applyFont="1" applyFill="1" applyBorder="1" applyAlignment="1" applyProtection="1">
      <alignment vertical="center"/>
      <protection hidden="1"/>
    </xf>
    <xf numFmtId="0" fontId="0" fillId="0" borderId="0" xfId="0" applyProtection="1">
      <protection locked="0" hidden="1"/>
    </xf>
    <xf numFmtId="0" fontId="21" fillId="0" borderId="20" xfId="0" applyFont="1" applyBorder="1" applyAlignment="1" applyProtection="1">
      <alignment horizontal="center"/>
      <protection locked="0" hidden="1"/>
    </xf>
    <xf numFmtId="0" fontId="29" fillId="0" borderId="14" xfId="0" applyFont="1" applyBorder="1" applyAlignment="1" applyProtection="1">
      <alignment horizontal="center" vertical="center"/>
      <protection locked="0" hidden="1"/>
    </xf>
    <xf numFmtId="0" fontId="32" fillId="0" borderId="0" xfId="0" applyFont="1" applyAlignment="1" applyProtection="1">
      <alignment horizontal="left"/>
      <protection locked="0" hidden="1"/>
    </xf>
    <xf numFmtId="0" fontId="33" fillId="0" borderId="0" xfId="0" applyFont="1" applyAlignment="1" applyProtection="1">
      <alignment horizontal="left"/>
      <protection locked="0" hidden="1"/>
    </xf>
    <xf numFmtId="0" fontId="6" fillId="2" borderId="27" xfId="1" applyFont="1" applyFill="1" applyBorder="1" applyAlignment="1" applyProtection="1">
      <alignment horizontal="center" vertical="center"/>
      <protection hidden="1"/>
    </xf>
    <xf numFmtId="0" fontId="7" fillId="2" borderId="21" xfId="1" applyFont="1" applyFill="1" applyBorder="1" applyAlignment="1" applyProtection="1">
      <alignment horizontal="center" vertical="center"/>
      <protection hidden="1"/>
    </xf>
    <xf numFmtId="0" fontId="6" fillId="3" borderId="13" xfId="1" applyFont="1" applyFill="1" applyBorder="1" applyAlignment="1" applyProtection="1">
      <alignment horizontal="center" vertical="center"/>
      <protection hidden="1"/>
    </xf>
    <xf numFmtId="0" fontId="8" fillId="2" borderId="21" xfId="1" applyFont="1" applyFill="1" applyBorder="1" applyAlignment="1" applyProtection="1">
      <alignment horizontal="center" vertical="center"/>
      <protection hidden="1"/>
    </xf>
    <xf numFmtId="1" fontId="6" fillId="4" borderId="21" xfId="1" applyNumberFormat="1" applyFont="1" applyFill="1" applyBorder="1" applyAlignment="1" applyProtection="1">
      <alignment horizontal="center" vertical="center"/>
      <protection hidden="1"/>
    </xf>
    <xf numFmtId="164" fontId="6" fillId="4" borderId="21" xfId="1" applyNumberFormat="1" applyFont="1" applyFill="1" applyBorder="1" applyAlignment="1" applyProtection="1">
      <alignment horizontal="center" vertical="center"/>
      <protection hidden="1"/>
    </xf>
    <xf numFmtId="2" fontId="6" fillId="4" borderId="21" xfId="1" applyNumberFormat="1" applyFont="1" applyFill="1" applyBorder="1" applyAlignment="1" applyProtection="1">
      <alignment horizontal="center" vertical="center"/>
      <protection hidden="1"/>
    </xf>
    <xf numFmtId="2" fontId="6" fillId="4" borderId="14" xfId="1" applyNumberFormat="1" applyFont="1" applyFill="1" applyBorder="1" applyAlignment="1" applyProtection="1">
      <alignment horizontal="center" vertical="center"/>
      <protection hidden="1"/>
    </xf>
    <xf numFmtId="0" fontId="6" fillId="4" borderId="21" xfId="1" applyFont="1" applyFill="1" applyBorder="1" applyAlignment="1" applyProtection="1">
      <alignment horizontal="center" vertical="center"/>
      <protection hidden="1"/>
    </xf>
    <xf numFmtId="0" fontId="6" fillId="3" borderId="23" xfId="1" applyFont="1" applyFill="1" applyBorder="1" applyAlignment="1" applyProtection="1">
      <alignment horizontal="center" vertical="center"/>
      <protection hidden="1"/>
    </xf>
    <xf numFmtId="1" fontId="6" fillId="4" borderId="28" xfId="1" applyNumberFormat="1" applyFont="1" applyFill="1" applyBorder="1" applyAlignment="1" applyProtection="1">
      <alignment horizontal="center" vertical="center"/>
      <protection hidden="1"/>
    </xf>
    <xf numFmtId="164" fontId="6" fillId="4" borderId="28" xfId="1" applyNumberFormat="1" applyFont="1" applyFill="1" applyBorder="1" applyAlignment="1" applyProtection="1">
      <alignment horizontal="center" vertical="center"/>
      <protection hidden="1"/>
    </xf>
    <xf numFmtId="2" fontId="6" fillId="4" borderId="28" xfId="1" applyNumberFormat="1" applyFont="1" applyFill="1" applyBorder="1" applyAlignment="1" applyProtection="1">
      <alignment horizontal="center" vertical="center"/>
      <protection hidden="1"/>
    </xf>
    <xf numFmtId="0" fontId="6" fillId="4" borderId="28" xfId="1" applyFont="1" applyFill="1" applyBorder="1" applyAlignment="1" applyProtection="1">
      <alignment horizontal="center" vertical="center"/>
      <protection hidden="1"/>
    </xf>
    <xf numFmtId="2" fontId="6" fillId="4" borderId="24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Protection="1">
      <protection hidden="1"/>
    </xf>
    <xf numFmtId="0" fontId="9" fillId="0" borderId="0" xfId="2" applyFill="1" applyBorder="1" applyAlignment="1" applyProtection="1">
      <alignment horizontal="center" vertical="center"/>
      <protection hidden="1"/>
    </xf>
    <xf numFmtId="0" fontId="7" fillId="2" borderId="29" xfId="1" applyFont="1" applyFill="1" applyBorder="1" applyAlignment="1" applyProtection="1">
      <alignment horizontal="center" vertical="center"/>
      <protection hidden="1"/>
    </xf>
    <xf numFmtId="0" fontId="7" fillId="2" borderId="16" xfId="1" applyFont="1" applyFill="1" applyBorder="1" applyAlignment="1" applyProtection="1">
      <alignment horizontal="center" vertical="center"/>
      <protection hidden="1"/>
    </xf>
    <xf numFmtId="0" fontId="8" fillId="2" borderId="30" xfId="1" applyFont="1" applyFill="1" applyBorder="1" applyAlignment="1" applyProtection="1">
      <alignment horizontal="center" vertical="center"/>
      <protection hidden="1"/>
    </xf>
    <xf numFmtId="0" fontId="8" fillId="2" borderId="18" xfId="1" applyFont="1" applyFill="1" applyBorder="1" applyAlignment="1" applyProtection="1">
      <alignment horizontal="center" vertical="center"/>
      <protection hidden="1"/>
    </xf>
    <xf numFmtId="0" fontId="10" fillId="0" borderId="21" xfId="2" applyFont="1" applyBorder="1" applyAlignment="1" applyProtection="1">
      <alignment horizontal="center" vertical="center"/>
      <protection hidden="1"/>
    </xf>
    <xf numFmtId="0" fontId="10" fillId="0" borderId="14" xfId="2" applyFont="1" applyBorder="1" applyAlignment="1" applyProtection="1">
      <alignment horizontal="center" vertical="center"/>
      <protection hidden="1"/>
    </xf>
    <xf numFmtId="0" fontId="10" fillId="0" borderId="28" xfId="2" applyFont="1" applyBorder="1" applyAlignment="1" applyProtection="1">
      <alignment horizontal="center" vertical="center"/>
      <protection hidden="1"/>
    </xf>
    <xf numFmtId="0" fontId="10" fillId="0" borderId="24" xfId="2" applyFont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left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1" fontId="19" fillId="0" borderId="0" xfId="0" applyNumberFormat="1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left"/>
      <protection hidden="1"/>
    </xf>
    <xf numFmtId="0" fontId="18" fillId="7" borderId="34" xfId="0" applyFont="1" applyFill="1" applyBorder="1" applyAlignment="1" applyProtection="1">
      <alignment horizontal="left"/>
      <protection hidden="1"/>
    </xf>
    <xf numFmtId="0" fontId="18" fillId="7" borderId="35" xfId="0" applyFont="1" applyFill="1" applyBorder="1" applyAlignment="1" applyProtection="1">
      <alignment horizontal="left"/>
      <protection hidden="1"/>
    </xf>
    <xf numFmtId="0" fontId="18" fillId="7" borderId="36" xfId="0" applyFont="1" applyFill="1" applyBorder="1" applyAlignment="1" applyProtection="1">
      <alignment horizontal="left"/>
      <protection hidden="1"/>
    </xf>
    <xf numFmtId="164" fontId="19" fillId="0" borderId="2" xfId="0" applyNumberFormat="1" applyFont="1" applyBorder="1" applyAlignment="1" applyProtection="1">
      <alignment horizontal="left" vertical="center"/>
      <protection hidden="1"/>
    </xf>
    <xf numFmtId="164" fontId="19" fillId="0" borderId="0" xfId="0" applyNumberFormat="1" applyFont="1" applyAlignment="1" applyProtection="1">
      <alignment horizontal="left" vertical="center"/>
      <protection hidden="1"/>
    </xf>
    <xf numFmtId="0" fontId="23" fillId="0" borderId="2" xfId="0" applyFont="1" applyBorder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2" fontId="25" fillId="0" borderId="0" xfId="0" applyNumberFormat="1" applyFont="1" applyAlignment="1" applyProtection="1">
      <alignment horizontal="center" vertical="center"/>
      <protection hidden="1"/>
    </xf>
    <xf numFmtId="0" fontId="14" fillId="6" borderId="1" xfId="0" applyFont="1" applyFill="1" applyBorder="1" applyAlignment="1" applyProtection="1">
      <alignment horizontal="center" vertical="center"/>
      <protection hidden="1"/>
    </xf>
    <xf numFmtId="0" fontId="14" fillId="6" borderId="2" xfId="0" applyFont="1" applyFill="1" applyBorder="1" applyAlignment="1" applyProtection="1">
      <alignment horizontal="center" vertical="center"/>
      <protection hidden="1"/>
    </xf>
    <xf numFmtId="0" fontId="14" fillId="6" borderId="3" xfId="0" applyFont="1" applyFill="1" applyBorder="1" applyAlignment="1" applyProtection="1">
      <alignment horizontal="center" vertical="center"/>
      <protection hidden="1"/>
    </xf>
    <xf numFmtId="0" fontId="14" fillId="6" borderId="9" xfId="0" applyFont="1" applyFill="1" applyBorder="1" applyAlignment="1" applyProtection="1">
      <alignment horizontal="center" vertical="center"/>
      <protection hidden="1"/>
    </xf>
    <xf numFmtId="0" fontId="14" fillId="6" borderId="10" xfId="0" applyFont="1" applyFill="1" applyBorder="1" applyAlignment="1" applyProtection="1">
      <alignment horizontal="center" vertical="center"/>
      <protection hidden="1"/>
    </xf>
    <xf numFmtId="0" fontId="14" fillId="6" borderId="11" xfId="0" applyFont="1" applyFill="1" applyBorder="1" applyAlignment="1" applyProtection="1">
      <alignment horizontal="center" vertical="center"/>
      <protection hidden="1"/>
    </xf>
    <xf numFmtId="0" fontId="14" fillId="5" borderId="1" xfId="0" applyFont="1" applyFill="1" applyBorder="1" applyAlignment="1" applyProtection="1">
      <alignment horizontal="center" vertical="center"/>
      <protection hidden="1"/>
    </xf>
    <xf numFmtId="0" fontId="14" fillId="5" borderId="2" xfId="0" applyFont="1" applyFill="1" applyBorder="1" applyAlignment="1" applyProtection="1">
      <alignment horizontal="center" vertical="center"/>
      <protection hidden="1"/>
    </xf>
    <xf numFmtId="0" fontId="14" fillId="5" borderId="3" xfId="0" applyFont="1" applyFill="1" applyBorder="1" applyAlignment="1" applyProtection="1">
      <alignment horizontal="center" vertical="center"/>
      <protection hidden="1"/>
    </xf>
    <xf numFmtId="0" fontId="14" fillId="5" borderId="9" xfId="0" applyFont="1" applyFill="1" applyBorder="1" applyAlignment="1" applyProtection="1">
      <alignment horizontal="center" vertical="center"/>
      <protection hidden="1"/>
    </xf>
    <xf numFmtId="0" fontId="14" fillId="5" borderId="10" xfId="0" applyFont="1" applyFill="1" applyBorder="1" applyAlignment="1" applyProtection="1">
      <alignment horizontal="center" vertical="center"/>
      <protection hidden="1"/>
    </xf>
    <xf numFmtId="0" fontId="14" fillId="5" borderId="11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164" fontId="25" fillId="0" borderId="0" xfId="0" applyNumberFormat="1" applyFont="1" applyAlignment="1" applyProtection="1">
      <alignment horizontal="left" vertical="center"/>
      <protection hidden="1"/>
    </xf>
    <xf numFmtId="0" fontId="21" fillId="0" borderId="0" xfId="0" applyFont="1" applyBorder="1" applyAlignment="1" applyProtection="1">
      <alignment horizontal="right"/>
      <protection locked="0"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2" xfId="0" applyFont="1" applyFill="1" applyBorder="1" applyAlignment="1" applyProtection="1">
      <alignment horizontal="center" vertical="center" wrapText="1"/>
      <protection hidden="1"/>
    </xf>
    <xf numFmtId="0" fontId="13" fillId="0" borderId="3" xfId="0" applyFont="1" applyFill="1" applyBorder="1" applyAlignment="1" applyProtection="1">
      <alignment horizontal="center" vertical="center" wrapText="1"/>
      <protection hidden="1"/>
    </xf>
    <xf numFmtId="0" fontId="13" fillId="0" borderId="9" xfId="0" applyFont="1" applyFill="1" applyBorder="1" applyAlignment="1" applyProtection="1">
      <alignment horizontal="center" vertical="center" wrapText="1"/>
      <protection hidden="1"/>
    </xf>
    <xf numFmtId="0" fontId="13" fillId="0" borderId="10" xfId="0" applyFont="1" applyFill="1" applyBorder="1" applyAlignment="1" applyProtection="1">
      <alignment horizontal="center" vertical="center" wrapText="1"/>
      <protection hidden="1"/>
    </xf>
    <xf numFmtId="0" fontId="13" fillId="0" borderId="11" xfId="0" applyFont="1" applyFill="1" applyBorder="1" applyAlignment="1" applyProtection="1">
      <alignment horizontal="center" vertical="center" wrapText="1"/>
      <protection hidden="1"/>
    </xf>
    <xf numFmtId="0" fontId="13" fillId="0" borderId="4" xfId="0" applyFont="1" applyFill="1" applyBorder="1" applyAlignment="1" applyProtection="1">
      <alignment horizontal="left"/>
      <protection hidden="1"/>
    </xf>
    <xf numFmtId="0" fontId="13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5" fillId="0" borderId="7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3" fillId="0" borderId="8" xfId="0" applyFont="1" applyFill="1" applyBorder="1" applyAlignment="1" applyProtection="1">
      <alignment horizontal="center"/>
      <protection hidden="1"/>
    </xf>
    <xf numFmtId="0" fontId="13" fillId="0" borderId="3" xfId="0" applyFont="1" applyFill="1" applyBorder="1" applyAlignment="1" applyProtection="1">
      <alignment horizontal="center"/>
      <protection hidden="1"/>
    </xf>
    <xf numFmtId="0" fontId="13" fillId="0" borderId="12" xfId="0" applyFont="1" applyFill="1" applyBorder="1" applyAlignment="1" applyProtection="1">
      <alignment horizontal="left"/>
      <protection hidden="1"/>
    </xf>
    <xf numFmtId="0" fontId="13" fillId="0" borderId="13" xfId="0" applyFont="1" applyFill="1" applyBorder="1" applyAlignment="1" applyProtection="1">
      <alignment horizontal="left"/>
      <protection hidden="1"/>
    </xf>
    <xf numFmtId="14" fontId="15" fillId="0" borderId="14" xfId="0" applyNumberFormat="1" applyFont="1" applyFill="1" applyBorder="1" applyAlignment="1" applyProtection="1">
      <alignment horizontal="center"/>
      <protection hidden="1"/>
    </xf>
    <xf numFmtId="0" fontId="15" fillId="0" borderId="15" xfId="0" applyFont="1" applyFill="1" applyBorder="1" applyAlignment="1" applyProtection="1">
      <alignment horizontal="center"/>
      <protection hidden="1"/>
    </xf>
    <xf numFmtId="0" fontId="15" fillId="0" borderId="13" xfId="0" applyFont="1" applyFill="1" applyBorder="1" applyAlignment="1" applyProtection="1">
      <alignment horizontal="center"/>
      <protection hidden="1"/>
    </xf>
    <xf numFmtId="0" fontId="13" fillId="0" borderId="16" xfId="0" applyFont="1" applyFill="1" applyBorder="1" applyAlignment="1" applyProtection="1">
      <alignment horizontal="center" vertical="center" textRotation="135"/>
      <protection hidden="1"/>
    </xf>
    <xf numFmtId="0" fontId="13" fillId="0" borderId="17" xfId="0" applyFont="1" applyFill="1" applyBorder="1" applyAlignment="1" applyProtection="1">
      <alignment horizontal="center" vertical="center" textRotation="135"/>
      <protection hidden="1"/>
    </xf>
    <xf numFmtId="0" fontId="13" fillId="0" borderId="18" xfId="0" applyFont="1" applyFill="1" applyBorder="1" applyAlignment="1" applyProtection="1">
      <alignment horizontal="center" vertical="center" textRotation="135"/>
      <protection hidden="1"/>
    </xf>
    <xf numFmtId="0" fontId="13" fillId="0" borderId="19" xfId="0" applyFont="1" applyFill="1" applyBorder="1" applyAlignment="1" applyProtection="1">
      <alignment horizontal="center" vertical="center" textRotation="135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14" fillId="0" borderId="2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locked="0" hidden="1"/>
    </xf>
    <xf numFmtId="0" fontId="15" fillId="0" borderId="3" xfId="0" applyFont="1" applyFill="1" applyBorder="1" applyAlignment="1" applyProtection="1">
      <alignment horizontal="center" vertical="center" wrapText="1"/>
      <protection locked="0" hidden="1"/>
    </xf>
    <xf numFmtId="0" fontId="15" fillId="0" borderId="0" xfId="0" applyFont="1" applyFill="1" applyBorder="1" applyAlignment="1" applyProtection="1">
      <alignment horizontal="center" vertical="center" wrapText="1"/>
      <protection locked="0" hidden="1"/>
    </xf>
    <xf numFmtId="0" fontId="15" fillId="0" borderId="17" xfId="0" applyFont="1" applyFill="1" applyBorder="1" applyAlignment="1" applyProtection="1">
      <alignment horizontal="center" vertical="center" wrapText="1"/>
      <protection locked="0" hidden="1"/>
    </xf>
    <xf numFmtId="0" fontId="15" fillId="0" borderId="24" xfId="0" applyFont="1" applyFill="1" applyBorder="1" applyAlignment="1" applyProtection="1">
      <alignment horizontal="center"/>
      <protection hidden="1"/>
    </xf>
    <xf numFmtId="0" fontId="15" fillId="0" borderId="25" xfId="0" applyFont="1" applyFill="1" applyBorder="1" applyAlignment="1" applyProtection="1">
      <alignment horizontal="center"/>
      <protection hidden="1"/>
    </xf>
    <xf numFmtId="0" fontId="15" fillId="0" borderId="23" xfId="0" applyFont="1" applyFill="1" applyBorder="1" applyAlignment="1" applyProtection="1">
      <alignment horizontal="center"/>
      <protection hidden="1"/>
    </xf>
    <xf numFmtId="0" fontId="13" fillId="0" borderId="22" xfId="0" applyFont="1" applyBorder="1" applyAlignment="1" applyProtection="1">
      <alignment horizontal="left"/>
      <protection hidden="1"/>
    </xf>
    <xf numFmtId="0" fontId="13" fillId="0" borderId="23" xfId="0" applyFont="1" applyBorder="1" applyAlignment="1" applyProtection="1">
      <alignment horizontal="left"/>
      <protection hidden="1"/>
    </xf>
    <xf numFmtId="0" fontId="13" fillId="0" borderId="24" xfId="0" applyFont="1" applyBorder="1" applyAlignment="1" applyProtection="1">
      <alignment horizontal="center"/>
      <protection hidden="1"/>
    </xf>
    <xf numFmtId="0" fontId="13" fillId="0" borderId="26" xfId="0" applyFont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 vertical="center" textRotation="135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14" fontId="2" fillId="0" borderId="0" xfId="0" applyNumberFormat="1" applyFont="1" applyFill="1" applyBorder="1" applyAlignment="1" applyProtection="1">
      <alignment horizontal="center"/>
      <protection hidden="1"/>
    </xf>
    <xf numFmtId="1" fontId="19" fillId="0" borderId="0" xfId="0" applyNumberFormat="1" applyFont="1" applyAlignment="1" applyProtection="1">
      <alignment horizontal="center" vertical="center"/>
      <protection hidden="1"/>
    </xf>
    <xf numFmtId="0" fontId="18" fillId="0" borderId="17" xfId="0" applyFont="1" applyBorder="1" applyAlignment="1" applyProtection="1">
      <alignment horizontal="left"/>
      <protection hidden="1"/>
    </xf>
    <xf numFmtId="0" fontId="18" fillId="0" borderId="0" xfId="0" applyFont="1" applyAlignment="1" applyProtection="1">
      <alignment horizontal="right"/>
      <protection hidden="1"/>
    </xf>
    <xf numFmtId="164" fontId="25" fillId="0" borderId="0" xfId="0" applyNumberFormat="1" applyFont="1" applyAlignment="1" applyProtection="1">
      <alignment horizontal="left"/>
      <protection hidden="1"/>
    </xf>
    <xf numFmtId="2" fontId="19" fillId="0" borderId="0" xfId="0" applyNumberFormat="1" applyFont="1" applyAlignment="1" applyProtection="1">
      <alignment horizontal="center" vertical="center"/>
      <protection hidden="1"/>
    </xf>
    <xf numFmtId="0" fontId="19" fillId="0" borderId="20" xfId="0" applyFont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32" fillId="0" borderId="20" xfId="0" applyFont="1" applyBorder="1" applyAlignment="1" applyProtection="1">
      <alignment horizontal="right"/>
      <protection locked="0" hidden="1"/>
    </xf>
    <xf numFmtId="0" fontId="32" fillId="0" borderId="0" xfId="0" applyFont="1" applyBorder="1" applyAlignment="1" applyProtection="1">
      <alignment horizontal="right"/>
      <protection locked="0" hidden="1"/>
    </xf>
    <xf numFmtId="0" fontId="20" fillId="0" borderId="0" xfId="0" applyFont="1" applyBorder="1" applyAlignment="1" applyProtection="1">
      <alignment horizontal="left" vertical="center"/>
      <protection hidden="1"/>
    </xf>
    <xf numFmtId="2" fontId="23" fillId="0" borderId="0" xfId="0" applyNumberFormat="1" applyFont="1" applyBorder="1" applyAlignment="1" applyProtection="1">
      <alignment horizontal="center"/>
      <protection hidden="1"/>
    </xf>
    <xf numFmtId="0" fontId="22" fillId="0" borderId="0" xfId="0" applyFont="1" applyBorder="1" applyAlignment="1" applyProtection="1">
      <alignment horizontal="center"/>
      <protection hidden="1"/>
    </xf>
    <xf numFmtId="164" fontId="19" fillId="0" borderId="0" xfId="0" applyNumberFormat="1" applyFont="1" applyBorder="1" applyAlignment="1" applyProtection="1">
      <alignment horizontal="left" vertical="center"/>
      <protection hidden="1"/>
    </xf>
    <xf numFmtId="0" fontId="19" fillId="0" borderId="39" xfId="0" applyFont="1" applyBorder="1" applyAlignment="1" applyProtection="1">
      <alignment horizontal="left" vertical="center"/>
      <protection hidden="1"/>
    </xf>
    <xf numFmtId="0" fontId="19" fillId="0" borderId="30" xfId="0" applyFont="1" applyBorder="1" applyAlignment="1" applyProtection="1">
      <alignment horizontal="left" vertical="center"/>
      <protection hidden="1"/>
    </xf>
    <xf numFmtId="0" fontId="19" fillId="0" borderId="31" xfId="0" applyFont="1" applyBorder="1" applyAlignment="1" applyProtection="1">
      <alignment horizontal="left" vertical="center"/>
      <protection hidden="1"/>
    </xf>
    <xf numFmtId="0" fontId="19" fillId="0" borderId="21" xfId="0" applyFont="1" applyBorder="1" applyAlignment="1" applyProtection="1">
      <alignment horizontal="left" vertical="center"/>
      <protection hidden="1"/>
    </xf>
    <xf numFmtId="2" fontId="23" fillId="0" borderId="0" xfId="0" applyNumberFormat="1" applyFont="1" applyBorder="1" applyAlignment="1" applyProtection="1">
      <alignment horizontal="left"/>
      <protection hidden="1"/>
    </xf>
    <xf numFmtId="0" fontId="41" fillId="0" borderId="0" xfId="0" applyFont="1" applyAlignment="1" applyProtection="1">
      <alignment horizontal="right"/>
      <protection hidden="1"/>
    </xf>
    <xf numFmtId="0" fontId="41" fillId="0" borderId="17" xfId="0" applyFont="1" applyBorder="1" applyAlignment="1" applyProtection="1">
      <alignment horizontal="right"/>
      <protection hidden="1"/>
    </xf>
    <xf numFmtId="0" fontId="18" fillId="0" borderId="17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right" vertical="center"/>
      <protection hidden="1"/>
    </xf>
    <xf numFmtId="0" fontId="15" fillId="0" borderId="14" xfId="0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left" vertical="center"/>
      <protection hidden="1"/>
    </xf>
    <xf numFmtId="0" fontId="14" fillId="0" borderId="2" xfId="0" applyFont="1" applyFill="1" applyBorder="1" applyAlignment="1" applyProtection="1">
      <alignment horizontal="left" vertical="center"/>
      <protection hidden="1"/>
    </xf>
    <xf numFmtId="0" fontId="14" fillId="0" borderId="20" xfId="0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 wrapText="1"/>
      <protection hidden="1"/>
    </xf>
    <xf numFmtId="0" fontId="15" fillId="0" borderId="17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alignment horizontal="left" vertical="center"/>
      <protection hidden="1"/>
    </xf>
    <xf numFmtId="0" fontId="38" fillId="0" borderId="2" xfId="0" applyFont="1" applyBorder="1" applyAlignment="1" applyProtection="1">
      <alignment horizontal="center" vertical="center"/>
      <protection hidden="1"/>
    </xf>
    <xf numFmtId="0" fontId="38" fillId="0" borderId="3" xfId="0" applyFont="1" applyBorder="1" applyAlignment="1" applyProtection="1">
      <alignment horizontal="center" vertical="center"/>
      <protection hidden="1"/>
    </xf>
    <xf numFmtId="0" fontId="38" fillId="0" borderId="0" xfId="0" applyFont="1" applyBorder="1" applyAlignment="1" applyProtection="1">
      <alignment horizontal="center" vertical="center"/>
      <protection hidden="1"/>
    </xf>
    <xf numFmtId="0" fontId="38" fillId="0" borderId="17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36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horizontal="center"/>
      <protection hidden="1"/>
    </xf>
    <xf numFmtId="0" fontId="37" fillId="0" borderId="10" xfId="0" applyFont="1" applyBorder="1" applyAlignment="1" applyProtection="1">
      <alignment horizontal="center"/>
      <protection hidden="1"/>
    </xf>
    <xf numFmtId="0" fontId="40" fillId="0" borderId="0" xfId="0" applyFont="1" applyBorder="1" applyAlignment="1" applyProtection="1">
      <alignment horizontal="center"/>
      <protection hidden="1"/>
    </xf>
    <xf numFmtId="0" fontId="40" fillId="0" borderId="17" xfId="0" applyFont="1" applyBorder="1" applyAlignment="1" applyProtection="1">
      <alignment horizontal="center"/>
      <protection hidden="1"/>
    </xf>
    <xf numFmtId="0" fontId="25" fillId="0" borderId="0" xfId="0" applyFont="1" applyBorder="1" applyAlignment="1" applyProtection="1">
      <alignment horizontal="left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9" fillId="0" borderId="2" xfId="0" applyFont="1" applyBorder="1" applyAlignment="1" applyProtection="1">
      <alignment horizontal="center" vertical="center"/>
      <protection hidden="1"/>
    </xf>
    <xf numFmtId="0" fontId="19" fillId="0" borderId="3" xfId="0" applyFont="1" applyBorder="1" applyAlignment="1" applyProtection="1">
      <alignment horizontal="center" vertical="center"/>
      <protection hidden="1"/>
    </xf>
    <xf numFmtId="0" fontId="19" fillId="0" borderId="9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center" vertical="center"/>
      <protection hidden="1"/>
    </xf>
    <xf numFmtId="0" fontId="42" fillId="0" borderId="0" xfId="0" applyFont="1" applyBorder="1" applyAlignment="1" applyProtection="1">
      <alignment horizontal="center" vertical="center"/>
      <protection hidden="1"/>
    </xf>
    <xf numFmtId="0" fontId="42" fillId="0" borderId="17" xfId="0" applyFont="1" applyBorder="1" applyAlignment="1" applyProtection="1">
      <alignment horizontal="center" vertical="center"/>
      <protection hidden="1"/>
    </xf>
    <xf numFmtId="0" fontId="42" fillId="0" borderId="10" xfId="0" applyFont="1" applyBorder="1" applyAlignment="1" applyProtection="1">
      <alignment horizontal="center" vertical="center"/>
      <protection hidden="1"/>
    </xf>
    <xf numFmtId="0" fontId="42" fillId="0" borderId="11" xfId="0" applyFont="1" applyBorder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right"/>
      <protection hidden="1"/>
    </xf>
    <xf numFmtId="0" fontId="25" fillId="0" borderId="17" xfId="0" applyFont="1" applyBorder="1" applyAlignment="1" applyProtection="1">
      <alignment horizontal="right"/>
      <protection hidden="1"/>
    </xf>
    <xf numFmtId="0" fontId="19" fillId="0" borderId="0" xfId="0" applyFont="1" applyBorder="1" applyAlignment="1" applyProtection="1">
      <alignment horizontal="right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8" fillId="7" borderId="34" xfId="0" applyFont="1" applyFill="1" applyBorder="1" applyAlignment="1" applyProtection="1">
      <alignment horizontal="right"/>
      <protection hidden="1"/>
    </xf>
    <xf numFmtId="0" fontId="18" fillId="7" borderId="35" xfId="0" applyFont="1" applyFill="1" applyBorder="1" applyAlignment="1" applyProtection="1">
      <alignment horizontal="right"/>
      <protection hidden="1"/>
    </xf>
    <xf numFmtId="0" fontId="18" fillId="7" borderId="36" xfId="0" applyFont="1" applyFill="1" applyBorder="1" applyAlignment="1" applyProtection="1">
      <alignment horizontal="right"/>
      <protection hidden="1"/>
    </xf>
    <xf numFmtId="164" fontId="19" fillId="0" borderId="20" xfId="0" applyNumberFormat="1" applyFont="1" applyFill="1" applyBorder="1" applyAlignment="1" applyProtection="1">
      <alignment horizontal="center" vertical="center"/>
      <protection hidden="1"/>
    </xf>
    <xf numFmtId="164" fontId="19" fillId="0" borderId="0" xfId="0" applyNumberFormat="1" applyFont="1" applyFill="1" applyBorder="1" applyAlignment="1" applyProtection="1">
      <alignment horizontal="center" vertical="center"/>
      <protection hidden="1"/>
    </xf>
    <xf numFmtId="0" fontId="19" fillId="0" borderId="2" xfId="0" applyFont="1" applyFill="1" applyBorder="1" applyAlignment="1" applyProtection="1">
      <alignment horizontal="center" vertical="center"/>
      <protection hidden="1"/>
    </xf>
    <xf numFmtId="0" fontId="19" fillId="0" borderId="10" xfId="0" applyFont="1" applyFill="1" applyBorder="1" applyAlignment="1" applyProtection="1">
      <alignment horizontal="center" vertical="center"/>
      <protection hidden="1"/>
    </xf>
    <xf numFmtId="164" fontId="19" fillId="0" borderId="0" xfId="0" applyNumberFormat="1" applyFont="1" applyFill="1" applyBorder="1" applyAlignment="1" applyProtection="1">
      <alignment horizontal="right" vertical="center"/>
      <protection hidden="1"/>
    </xf>
    <xf numFmtId="0" fontId="43" fillId="0" borderId="0" xfId="0" applyFont="1" applyFill="1" applyBorder="1" applyAlignment="1" applyProtection="1">
      <alignment vertical="center" wrapText="1"/>
      <protection hidden="1"/>
    </xf>
    <xf numFmtId="0" fontId="44" fillId="0" borderId="0" xfId="3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</cellXfs>
  <cellStyles count="4">
    <cellStyle name="Hyperlink" xfId="3" builtinId="8"/>
    <cellStyle name="Normal" xfId="0" builtinId="0"/>
    <cellStyle name="Normal 2" xfId="1"/>
    <cellStyle name="Normal 3" xfId="2"/>
  </cellStyles>
  <dxfs count="38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" formatCode="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4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solid">
          <fgColor indexed="64"/>
          <bgColor indexed="2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0.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0.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0.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" formatCode="0"/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4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indexed="26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solid">
          <fgColor indexed="64"/>
          <bgColor indexed="2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47625</xdr:colOff>
      <xdr:row>13</xdr:row>
      <xdr:rowOff>23812</xdr:rowOff>
    </xdr:from>
    <xdr:ext cx="377091" cy="1275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219200" y="1423987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/</m:t>
                    </m:r>
                    <m:sSup>
                      <m:sSup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𝑐𝑚</m:t>
                        </m:r>
                      </m:e>
                      <m:sup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219200" y="1423987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𝑔/〖𝑐𝑚〗^2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5</xdr:col>
      <xdr:colOff>38100</xdr:colOff>
      <xdr:row>15</xdr:row>
      <xdr:rowOff>9525</xdr:rowOff>
    </xdr:from>
    <xdr:ext cx="377091" cy="1275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09675" y="1562100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/</m:t>
                    </m:r>
                    <m:sSup>
                      <m:sSup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𝑐𝑚</m:t>
                        </m:r>
                      </m:e>
                      <m:sup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09675" y="1562100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𝑔/〖𝑐𝑚〗^2</a:t>
              </a:r>
              <a:endParaRPr lang="en-US" sz="800"/>
            </a:p>
          </xdr:txBody>
        </xdr:sp>
      </mc:Fallback>
    </mc:AlternateContent>
    <xdr:clientData/>
  </xdr:oneCellAnchor>
  <xdr:twoCellAnchor>
    <xdr:from>
      <xdr:col>9</xdr:col>
      <xdr:colOff>5853</xdr:colOff>
      <xdr:row>7</xdr:row>
      <xdr:rowOff>127046</xdr:rowOff>
    </xdr:from>
    <xdr:to>
      <xdr:col>16</xdr:col>
      <xdr:colOff>114357</xdr:colOff>
      <xdr:row>25</xdr:row>
      <xdr:rowOff>118527</xdr:rowOff>
    </xdr:to>
    <xdr:grpSp>
      <xdr:nvGrpSpPr>
        <xdr:cNvPr id="113" name="Group 112"/>
        <xdr:cNvGrpSpPr/>
      </xdr:nvGrpSpPr>
      <xdr:grpSpPr>
        <a:xfrm>
          <a:off x="3396107" y="1224843"/>
          <a:ext cx="3450326" cy="2752116"/>
          <a:chOff x="3423683" y="1323753"/>
          <a:chExt cx="3447792" cy="2782528"/>
        </a:xfrm>
      </xdr:grpSpPr>
      <xdr:sp macro="" textlink="">
        <xdr:nvSpPr>
          <xdr:cNvPr id="94" name="Rectangle 93"/>
          <xdr:cNvSpPr/>
        </xdr:nvSpPr>
        <xdr:spPr>
          <a:xfrm rot="7490716">
            <a:off x="4513543" y="2221056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6" name="Rectangle 95"/>
          <xdr:cNvSpPr/>
        </xdr:nvSpPr>
        <xdr:spPr>
          <a:xfrm rot="7490716">
            <a:off x="4703537" y="2353183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7" name="Rectangle 96"/>
          <xdr:cNvSpPr/>
        </xdr:nvSpPr>
        <xdr:spPr>
          <a:xfrm rot="7490716">
            <a:off x="4901112" y="2472767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8" name="Rectangle 97"/>
          <xdr:cNvSpPr/>
        </xdr:nvSpPr>
        <xdr:spPr>
          <a:xfrm rot="7490716">
            <a:off x="5621587" y="2941556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9" name="Rectangle 98"/>
          <xdr:cNvSpPr/>
        </xdr:nvSpPr>
        <xdr:spPr>
          <a:xfrm rot="7490716">
            <a:off x="5778613" y="3054296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0" name="Rectangle 99"/>
          <xdr:cNvSpPr/>
        </xdr:nvSpPr>
        <xdr:spPr>
          <a:xfrm rot="7490716">
            <a:off x="5957346" y="3159344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1" name="Rectangle 100"/>
          <xdr:cNvSpPr/>
        </xdr:nvSpPr>
        <xdr:spPr>
          <a:xfrm rot="3411016">
            <a:off x="5942331" y="2254273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4" name="Rectangle 103"/>
          <xdr:cNvSpPr/>
        </xdr:nvSpPr>
        <xdr:spPr>
          <a:xfrm rot="3411016">
            <a:off x="5770683" y="2362169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5" name="Rectangle 104"/>
          <xdr:cNvSpPr/>
        </xdr:nvSpPr>
        <xdr:spPr>
          <a:xfrm rot="3411016">
            <a:off x="5585399" y="2477377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6" name="Rectangle 105"/>
          <xdr:cNvSpPr/>
        </xdr:nvSpPr>
        <xdr:spPr>
          <a:xfrm rot="3411016">
            <a:off x="4942596" y="2899493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7" name="Rectangle 106"/>
          <xdr:cNvSpPr/>
        </xdr:nvSpPr>
        <xdr:spPr>
          <a:xfrm rot="3411016">
            <a:off x="4722177" y="3045504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8" name="Rectangle 107"/>
          <xdr:cNvSpPr/>
        </xdr:nvSpPr>
        <xdr:spPr>
          <a:xfrm rot="3411016">
            <a:off x="4494502" y="3194633"/>
            <a:ext cx="151712" cy="446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" name="Rectangle 9"/>
          <xdr:cNvSpPr/>
        </xdr:nvSpPr>
        <xdr:spPr>
          <a:xfrm rot="1726358">
            <a:off x="5096048" y="2562038"/>
            <a:ext cx="556177" cy="361852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6152278" y="1869487"/>
            <a:ext cx="476000" cy="331849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4003735" y="1865374"/>
            <a:ext cx="475999" cy="331849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13" name="Group 12"/>
          <xdr:cNvGrpSpPr/>
        </xdr:nvGrpSpPr>
        <xdr:grpSpPr>
          <a:xfrm>
            <a:off x="3758802" y="1561207"/>
            <a:ext cx="243334" cy="2543690"/>
            <a:chOff x="8138688" y="1235550"/>
            <a:chExt cx="264567" cy="2376405"/>
          </a:xfrm>
        </xdr:grpSpPr>
        <xdr:cxnSp macro="">
          <xdr:nvCxnSpPr>
            <xdr:cNvPr id="55" name="Straight Connector 54"/>
            <xdr:cNvCxnSpPr/>
          </xdr:nvCxnSpPr>
          <xdr:spPr>
            <a:xfrm>
              <a:off x="8139177" y="1236989"/>
              <a:ext cx="0" cy="2374966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56" name="Straight Connector 55"/>
            <xdr:cNvCxnSpPr/>
          </xdr:nvCxnSpPr>
          <xdr:spPr>
            <a:xfrm>
              <a:off x="8186691" y="1236989"/>
              <a:ext cx="0" cy="2374161"/>
            </a:xfrm>
            <a:prstGeom prst="line">
              <a:avLst/>
            </a:prstGeom>
            <a:ln>
              <a:solidFill>
                <a:srgbClr val="00B050"/>
              </a:solidFill>
              <a:prstDash val="sysDot"/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57" name="Straight Connector 56"/>
            <xdr:cNvCxnSpPr/>
          </xdr:nvCxnSpPr>
          <xdr:spPr>
            <a:xfrm>
              <a:off x="8234204" y="1236989"/>
              <a:ext cx="0" cy="2374966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58" name="Straight Connector 57"/>
            <xdr:cNvCxnSpPr/>
          </xdr:nvCxnSpPr>
          <xdr:spPr>
            <a:xfrm>
              <a:off x="8309381" y="1236964"/>
              <a:ext cx="0" cy="2374967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59" name="Straight Connector 58"/>
            <xdr:cNvCxnSpPr/>
          </xdr:nvCxnSpPr>
          <xdr:spPr>
            <a:xfrm>
              <a:off x="8355741" y="1236964"/>
              <a:ext cx="0" cy="2374967"/>
            </a:xfrm>
            <a:prstGeom prst="line">
              <a:avLst/>
            </a:prstGeom>
            <a:ln>
              <a:solidFill>
                <a:srgbClr val="00B050"/>
              </a:solidFill>
              <a:prstDash val="sysDot"/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60" name="Straight Connector 59"/>
            <xdr:cNvCxnSpPr/>
          </xdr:nvCxnSpPr>
          <xdr:spPr>
            <a:xfrm>
              <a:off x="8403255" y="1236964"/>
              <a:ext cx="0" cy="2374967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sp macro="" textlink="">
          <xdr:nvSpPr>
            <xdr:cNvPr id="61" name="Rectangle 60"/>
            <xdr:cNvSpPr/>
          </xdr:nvSpPr>
          <xdr:spPr>
            <a:xfrm>
              <a:off x="8189307" y="1235550"/>
              <a:ext cx="166434" cy="454936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cxnSp macro="">
          <xdr:nvCxnSpPr>
            <xdr:cNvPr id="62" name="Straight Connector 61"/>
            <xdr:cNvCxnSpPr/>
          </xdr:nvCxnSpPr>
          <xdr:spPr>
            <a:xfrm>
              <a:off x="8139177" y="1236964"/>
              <a:ext cx="264078" cy="0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sp macro="" textlink="">
          <xdr:nvSpPr>
            <xdr:cNvPr id="63" name="Rectangle 62"/>
            <xdr:cNvSpPr/>
          </xdr:nvSpPr>
          <xdr:spPr>
            <a:xfrm>
              <a:off x="8186059" y="1983269"/>
              <a:ext cx="168524" cy="41693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4" name="Rectangle 63"/>
            <xdr:cNvSpPr/>
          </xdr:nvSpPr>
          <xdr:spPr>
            <a:xfrm>
              <a:off x="8187489" y="2304584"/>
              <a:ext cx="168252" cy="41354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5" name="Rectangle 64"/>
            <xdr:cNvSpPr/>
          </xdr:nvSpPr>
          <xdr:spPr>
            <a:xfrm>
              <a:off x="8184425" y="2646504"/>
              <a:ext cx="171317" cy="43045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6" name="Rectangle 65"/>
            <xdr:cNvSpPr/>
          </xdr:nvSpPr>
          <xdr:spPr>
            <a:xfrm>
              <a:off x="8187489" y="2966170"/>
              <a:ext cx="168252" cy="42678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7" name="Rectangle 66"/>
            <xdr:cNvSpPr/>
          </xdr:nvSpPr>
          <xdr:spPr>
            <a:xfrm>
              <a:off x="8187490" y="3161347"/>
              <a:ext cx="168251" cy="449804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cxnSp macro="">
          <xdr:nvCxnSpPr>
            <xdr:cNvPr id="68" name="Straight Connector 67"/>
            <xdr:cNvCxnSpPr/>
          </xdr:nvCxnSpPr>
          <xdr:spPr>
            <a:xfrm>
              <a:off x="8138688" y="3611150"/>
              <a:ext cx="264567" cy="0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grpSp>
          <xdr:nvGrpSpPr>
            <xdr:cNvPr id="69" name="Group 68"/>
            <xdr:cNvGrpSpPr/>
          </xdr:nvGrpSpPr>
          <xdr:grpSpPr>
            <a:xfrm>
              <a:off x="8186001" y="1386312"/>
              <a:ext cx="169541" cy="150891"/>
              <a:chOff x="8194567" y="1406937"/>
              <a:chExt cx="170549" cy="152691"/>
            </a:xfrm>
          </xdr:grpSpPr>
          <xdr:cxnSp macro="">
            <xdr:nvCxnSpPr>
              <xdr:cNvPr id="74" name="Straight Connector 73"/>
              <xdr:cNvCxnSpPr/>
            </xdr:nvCxnSpPr>
            <xdr:spPr>
              <a:xfrm>
                <a:off x="8194567" y="1406937"/>
                <a:ext cx="170549" cy="0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  <xdr:cxnSp macro="">
            <xdr:nvCxnSpPr>
              <xdr:cNvPr id="75" name="Straight Connector 74"/>
              <xdr:cNvCxnSpPr/>
            </xdr:nvCxnSpPr>
            <xdr:spPr>
              <a:xfrm>
                <a:off x="8241670" y="1406937"/>
                <a:ext cx="0" cy="152691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  <xdr:cxnSp macro="">
            <xdr:nvCxnSpPr>
              <xdr:cNvPr id="76" name="Straight Connector 75"/>
              <xdr:cNvCxnSpPr/>
            </xdr:nvCxnSpPr>
            <xdr:spPr>
              <a:xfrm>
                <a:off x="8318015" y="1406937"/>
                <a:ext cx="0" cy="152691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</xdr:grpSp>
        <xdr:grpSp>
          <xdr:nvGrpSpPr>
            <xdr:cNvPr id="70" name="Group 69"/>
            <xdr:cNvGrpSpPr/>
          </xdr:nvGrpSpPr>
          <xdr:grpSpPr>
            <a:xfrm>
              <a:off x="8185949" y="3310173"/>
              <a:ext cx="169434" cy="150891"/>
              <a:chOff x="8194567" y="1406937"/>
              <a:chExt cx="170549" cy="152691"/>
            </a:xfrm>
          </xdr:grpSpPr>
          <xdr:cxnSp macro="">
            <xdr:nvCxnSpPr>
              <xdr:cNvPr id="71" name="Straight Connector 70"/>
              <xdr:cNvCxnSpPr/>
            </xdr:nvCxnSpPr>
            <xdr:spPr>
              <a:xfrm>
                <a:off x="8194567" y="1406937"/>
                <a:ext cx="170549" cy="0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  <xdr:cxnSp macro="">
            <xdr:nvCxnSpPr>
              <xdr:cNvPr id="72" name="Straight Connector 71"/>
              <xdr:cNvCxnSpPr/>
            </xdr:nvCxnSpPr>
            <xdr:spPr>
              <a:xfrm>
                <a:off x="8241670" y="1406937"/>
                <a:ext cx="0" cy="152691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  <xdr:cxnSp macro="">
            <xdr:nvCxnSpPr>
              <xdr:cNvPr id="73" name="Straight Connector 72"/>
              <xdr:cNvCxnSpPr/>
            </xdr:nvCxnSpPr>
            <xdr:spPr>
              <a:xfrm>
                <a:off x="8318015" y="1406937"/>
                <a:ext cx="0" cy="152691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</xdr:grpSp>
      </xdr:grpSp>
      <xdr:cxnSp macro="">
        <xdr:nvCxnSpPr>
          <xdr:cNvPr id="14" name="Straight Connector 13"/>
          <xdr:cNvCxnSpPr/>
        </xdr:nvCxnSpPr>
        <xdr:spPr>
          <a:xfrm>
            <a:off x="4001682" y="3800577"/>
            <a:ext cx="94076" cy="0"/>
          </a:xfrm>
          <a:prstGeom prst="line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</xdr:cxnSp>
      <xdr:cxnSp macro="">
        <xdr:nvCxnSpPr>
          <xdr:cNvPr id="15" name="Straight Connector 14"/>
          <xdr:cNvCxnSpPr/>
        </xdr:nvCxnSpPr>
        <xdr:spPr>
          <a:xfrm flipH="1">
            <a:off x="4001683" y="3800577"/>
            <a:ext cx="94076" cy="152038"/>
          </a:xfrm>
          <a:prstGeom prst="line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</xdr:cxnSp>
      <xdr:sp macro="" textlink="">
        <xdr:nvSpPr>
          <xdr:cNvPr id="16" name="Flowchart: Predefined Process 15"/>
          <xdr:cNvSpPr/>
        </xdr:nvSpPr>
        <xdr:spPr>
          <a:xfrm rot="5400000">
            <a:off x="5219375" y="476885"/>
            <a:ext cx="210463" cy="2570624"/>
          </a:xfrm>
          <a:prstGeom prst="flowChartPredefinedProcess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17" name="Group 16"/>
          <xdr:cNvGrpSpPr/>
        </xdr:nvGrpSpPr>
        <xdr:grpSpPr>
          <a:xfrm>
            <a:off x="6633302" y="1561207"/>
            <a:ext cx="238173" cy="2545074"/>
            <a:chOff x="8138688" y="1235550"/>
            <a:chExt cx="264567" cy="2376405"/>
          </a:xfrm>
        </xdr:grpSpPr>
        <xdr:cxnSp macro="">
          <xdr:nvCxnSpPr>
            <xdr:cNvPr id="33" name="Straight Connector 32"/>
            <xdr:cNvCxnSpPr/>
          </xdr:nvCxnSpPr>
          <xdr:spPr>
            <a:xfrm>
              <a:off x="8139177" y="1236989"/>
              <a:ext cx="0" cy="2374966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34" name="Straight Connector 33"/>
            <xdr:cNvCxnSpPr/>
          </xdr:nvCxnSpPr>
          <xdr:spPr>
            <a:xfrm>
              <a:off x="8186691" y="1236989"/>
              <a:ext cx="0" cy="2374161"/>
            </a:xfrm>
            <a:prstGeom prst="line">
              <a:avLst/>
            </a:prstGeom>
            <a:ln>
              <a:solidFill>
                <a:srgbClr val="00B050"/>
              </a:solidFill>
              <a:prstDash val="sysDot"/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35" name="Straight Connector 34"/>
            <xdr:cNvCxnSpPr/>
          </xdr:nvCxnSpPr>
          <xdr:spPr>
            <a:xfrm>
              <a:off x="8234204" y="1236989"/>
              <a:ext cx="0" cy="2374966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36" name="Straight Connector 35"/>
            <xdr:cNvCxnSpPr/>
          </xdr:nvCxnSpPr>
          <xdr:spPr>
            <a:xfrm>
              <a:off x="8309381" y="1236964"/>
              <a:ext cx="0" cy="2374967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37" name="Straight Connector 36"/>
            <xdr:cNvCxnSpPr/>
          </xdr:nvCxnSpPr>
          <xdr:spPr>
            <a:xfrm>
              <a:off x="8355741" y="1236964"/>
              <a:ext cx="0" cy="2374967"/>
            </a:xfrm>
            <a:prstGeom prst="line">
              <a:avLst/>
            </a:prstGeom>
            <a:ln>
              <a:solidFill>
                <a:srgbClr val="00B050"/>
              </a:solidFill>
              <a:prstDash val="sysDot"/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38" name="Straight Connector 37"/>
            <xdr:cNvCxnSpPr/>
          </xdr:nvCxnSpPr>
          <xdr:spPr>
            <a:xfrm>
              <a:off x="8403255" y="1236964"/>
              <a:ext cx="0" cy="2374967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sp macro="" textlink="">
          <xdr:nvSpPr>
            <xdr:cNvPr id="39" name="Rectangle 38"/>
            <xdr:cNvSpPr/>
          </xdr:nvSpPr>
          <xdr:spPr>
            <a:xfrm>
              <a:off x="8189307" y="1235550"/>
              <a:ext cx="166434" cy="454936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cxnSp macro="">
          <xdr:nvCxnSpPr>
            <xdr:cNvPr id="40" name="Straight Connector 39"/>
            <xdr:cNvCxnSpPr/>
          </xdr:nvCxnSpPr>
          <xdr:spPr>
            <a:xfrm>
              <a:off x="8139177" y="1236964"/>
              <a:ext cx="264078" cy="0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sp macro="" textlink="">
          <xdr:nvSpPr>
            <xdr:cNvPr id="41" name="Rectangle 40"/>
            <xdr:cNvSpPr/>
          </xdr:nvSpPr>
          <xdr:spPr>
            <a:xfrm>
              <a:off x="8186059" y="1983269"/>
              <a:ext cx="168524" cy="41693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42" name="Rectangle 41"/>
            <xdr:cNvSpPr/>
          </xdr:nvSpPr>
          <xdr:spPr>
            <a:xfrm>
              <a:off x="8187489" y="2304584"/>
              <a:ext cx="168252" cy="41354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43" name="Rectangle 42"/>
            <xdr:cNvSpPr/>
          </xdr:nvSpPr>
          <xdr:spPr>
            <a:xfrm>
              <a:off x="8184425" y="2646504"/>
              <a:ext cx="171317" cy="43045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44" name="Rectangle 43"/>
            <xdr:cNvSpPr/>
          </xdr:nvSpPr>
          <xdr:spPr>
            <a:xfrm>
              <a:off x="8187489" y="2966170"/>
              <a:ext cx="168252" cy="42678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45" name="Rectangle 44"/>
            <xdr:cNvSpPr/>
          </xdr:nvSpPr>
          <xdr:spPr>
            <a:xfrm>
              <a:off x="8187490" y="3161347"/>
              <a:ext cx="168251" cy="449804"/>
            </a:xfrm>
            <a:prstGeom prst="rect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cxnSp macro="">
          <xdr:nvCxnSpPr>
            <xdr:cNvPr id="46" name="Straight Connector 45"/>
            <xdr:cNvCxnSpPr/>
          </xdr:nvCxnSpPr>
          <xdr:spPr>
            <a:xfrm>
              <a:off x="8138688" y="3611150"/>
              <a:ext cx="264567" cy="0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grpSp>
          <xdr:nvGrpSpPr>
            <xdr:cNvPr id="47" name="Group 46"/>
            <xdr:cNvGrpSpPr/>
          </xdr:nvGrpSpPr>
          <xdr:grpSpPr>
            <a:xfrm>
              <a:off x="8186001" y="1386312"/>
              <a:ext cx="169541" cy="150891"/>
              <a:chOff x="8194567" y="1406937"/>
              <a:chExt cx="170549" cy="152691"/>
            </a:xfrm>
          </xdr:grpSpPr>
          <xdr:cxnSp macro="">
            <xdr:nvCxnSpPr>
              <xdr:cNvPr id="52" name="Straight Connector 51"/>
              <xdr:cNvCxnSpPr/>
            </xdr:nvCxnSpPr>
            <xdr:spPr>
              <a:xfrm>
                <a:off x="8194567" y="1406937"/>
                <a:ext cx="170549" cy="0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  <xdr:cxnSp macro="">
            <xdr:nvCxnSpPr>
              <xdr:cNvPr id="53" name="Straight Connector 52"/>
              <xdr:cNvCxnSpPr/>
            </xdr:nvCxnSpPr>
            <xdr:spPr>
              <a:xfrm>
                <a:off x="8241670" y="1406937"/>
                <a:ext cx="0" cy="152691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  <xdr:cxnSp macro="">
            <xdr:nvCxnSpPr>
              <xdr:cNvPr id="54" name="Straight Connector 53"/>
              <xdr:cNvCxnSpPr/>
            </xdr:nvCxnSpPr>
            <xdr:spPr>
              <a:xfrm>
                <a:off x="8318015" y="1406937"/>
                <a:ext cx="0" cy="152691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</xdr:grpSp>
        <xdr:grpSp>
          <xdr:nvGrpSpPr>
            <xdr:cNvPr id="48" name="Group 47"/>
            <xdr:cNvGrpSpPr/>
          </xdr:nvGrpSpPr>
          <xdr:grpSpPr>
            <a:xfrm>
              <a:off x="8185949" y="3310173"/>
              <a:ext cx="169434" cy="150891"/>
              <a:chOff x="8194567" y="1406937"/>
              <a:chExt cx="170549" cy="152691"/>
            </a:xfrm>
          </xdr:grpSpPr>
          <xdr:cxnSp macro="">
            <xdr:nvCxnSpPr>
              <xdr:cNvPr id="49" name="Straight Connector 48"/>
              <xdr:cNvCxnSpPr/>
            </xdr:nvCxnSpPr>
            <xdr:spPr>
              <a:xfrm>
                <a:off x="8194567" y="1406937"/>
                <a:ext cx="170549" cy="0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  <xdr:cxnSp macro="">
            <xdr:nvCxnSpPr>
              <xdr:cNvPr id="50" name="Straight Connector 49"/>
              <xdr:cNvCxnSpPr/>
            </xdr:nvCxnSpPr>
            <xdr:spPr>
              <a:xfrm>
                <a:off x="8241670" y="1406937"/>
                <a:ext cx="0" cy="152691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  <xdr:cxnSp macro="">
            <xdr:nvCxnSpPr>
              <xdr:cNvPr id="51" name="Straight Connector 50"/>
              <xdr:cNvCxnSpPr/>
            </xdr:nvCxnSpPr>
            <xdr:spPr>
              <a:xfrm>
                <a:off x="8318015" y="1406937"/>
                <a:ext cx="0" cy="152691"/>
              </a:xfrm>
              <a:prstGeom prst="line">
                <a:avLst/>
              </a:prstGeom>
              <a:ln>
                <a:solidFill>
                  <a:srgbClr val="00B050"/>
                </a:solidFill>
              </a:ln>
            </xdr:spPr>
            <xdr:style>
              <a:lnRef idx="1">
                <a:schemeClr val="accent3"/>
              </a:lnRef>
              <a:fillRef idx="1003">
                <a:schemeClr val="lt2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</xdr:cxnSp>
        </xdr:grpSp>
      </xdr:grpSp>
      <xdr:grpSp>
        <xdr:nvGrpSpPr>
          <xdr:cNvPr id="18" name="Group 17"/>
          <xdr:cNvGrpSpPr/>
        </xdr:nvGrpSpPr>
        <xdr:grpSpPr>
          <a:xfrm flipH="1">
            <a:off x="6543552" y="3800581"/>
            <a:ext cx="95744" cy="152038"/>
            <a:chOff x="8402411" y="3610753"/>
            <a:chExt cx="106913" cy="150650"/>
          </a:xfrm>
        </xdr:grpSpPr>
        <xdr:cxnSp macro="">
          <xdr:nvCxnSpPr>
            <xdr:cNvPr id="31" name="Straight Connector 30"/>
            <xdr:cNvCxnSpPr/>
          </xdr:nvCxnSpPr>
          <xdr:spPr>
            <a:xfrm>
              <a:off x="8402411" y="3610753"/>
              <a:ext cx="106913" cy="0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  <xdr:cxnSp macro="">
          <xdr:nvCxnSpPr>
            <xdr:cNvPr id="32" name="Straight Connector 31"/>
            <xdr:cNvCxnSpPr/>
          </xdr:nvCxnSpPr>
          <xdr:spPr>
            <a:xfrm flipH="1">
              <a:off x="8402411" y="3610753"/>
              <a:ext cx="106913" cy="150650"/>
            </a:xfrm>
            <a:prstGeom prst="line">
              <a:avLst/>
            </a:prstGeom>
            <a:ln>
              <a:solidFill>
                <a:srgbClr val="00B050"/>
              </a:solidFill>
            </a:ln>
          </xdr:spPr>
          <xdr:style>
            <a:lnRef idx="1">
              <a:schemeClr val="accent3"/>
            </a:lnRef>
            <a:fillRef idx="1003">
              <a:schemeClr val="lt2"/>
            </a:fillRef>
            <a:effectRef idx="1">
              <a:schemeClr val="accent3"/>
            </a:effectRef>
            <a:fontRef idx="minor">
              <a:schemeClr val="dk1"/>
            </a:fontRef>
          </xdr:style>
        </xdr:cxnSp>
      </xdr:grpSp>
      <xdr:sp macro="" textlink="">
        <xdr:nvSpPr>
          <xdr:cNvPr id="19" name="Flowchart: Predefined Process 18"/>
          <xdr:cNvSpPr/>
        </xdr:nvSpPr>
        <xdr:spPr>
          <a:xfrm rot="5400000">
            <a:off x="5211276" y="2403021"/>
            <a:ext cx="224488" cy="2570624"/>
          </a:xfrm>
          <a:prstGeom prst="flowChartPredefinedProcess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Right Triangle 19"/>
          <xdr:cNvSpPr/>
        </xdr:nvSpPr>
        <xdr:spPr>
          <a:xfrm flipV="1">
            <a:off x="4005401" y="1865374"/>
            <a:ext cx="169097" cy="163947"/>
          </a:xfrm>
          <a:prstGeom prst="rtTriangle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Right Triangle 20"/>
          <xdr:cNvSpPr/>
        </xdr:nvSpPr>
        <xdr:spPr>
          <a:xfrm flipH="1" flipV="1">
            <a:off x="6455328" y="1873284"/>
            <a:ext cx="169324" cy="163947"/>
          </a:xfrm>
          <a:prstGeom prst="rtTriangle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2" name="Rectangle 21"/>
          <xdr:cNvSpPr/>
        </xdr:nvSpPr>
        <xdr:spPr>
          <a:xfrm>
            <a:off x="6148931" y="3232030"/>
            <a:ext cx="484861" cy="342756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3" name="Rectangle 22"/>
          <xdr:cNvSpPr/>
        </xdr:nvSpPr>
        <xdr:spPr>
          <a:xfrm>
            <a:off x="4007638" y="3236143"/>
            <a:ext cx="475999" cy="331849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4" name="Rectangle 23"/>
          <xdr:cNvSpPr/>
        </xdr:nvSpPr>
        <xdr:spPr>
          <a:xfrm>
            <a:off x="4003357" y="3624489"/>
            <a:ext cx="63487" cy="118159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5" name="Rectangle 24"/>
          <xdr:cNvSpPr/>
        </xdr:nvSpPr>
        <xdr:spPr>
          <a:xfrm>
            <a:off x="4005967" y="1696751"/>
            <a:ext cx="64065" cy="118159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6" name="Rectangle 25"/>
          <xdr:cNvSpPr/>
        </xdr:nvSpPr>
        <xdr:spPr>
          <a:xfrm>
            <a:off x="6561737" y="1704138"/>
            <a:ext cx="64065" cy="118159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7" name="Rectangle 26"/>
          <xdr:cNvSpPr/>
        </xdr:nvSpPr>
        <xdr:spPr>
          <a:xfrm>
            <a:off x="6558282" y="3627806"/>
            <a:ext cx="64065" cy="118159"/>
          </a:xfrm>
          <a:prstGeom prst="rect">
            <a:avLst/>
          </a:prstGeom>
          <a:ln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8" name="Straight Connector 27"/>
          <xdr:cNvCxnSpPr/>
        </xdr:nvCxnSpPr>
        <xdr:spPr>
          <a:xfrm>
            <a:off x="4213801" y="2008166"/>
            <a:ext cx="1065429" cy="670065"/>
          </a:xfrm>
          <a:prstGeom prst="line">
            <a:avLst/>
          </a:prstGeom>
          <a:ln w="76200"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</xdr:cxnSp>
      <xdr:cxnSp macro="">
        <xdr:nvCxnSpPr>
          <xdr:cNvPr id="29" name="Straight Connector 28"/>
          <xdr:cNvCxnSpPr/>
        </xdr:nvCxnSpPr>
        <xdr:spPr>
          <a:xfrm>
            <a:off x="5427113" y="2793604"/>
            <a:ext cx="967898" cy="615885"/>
          </a:xfrm>
          <a:prstGeom prst="line">
            <a:avLst/>
          </a:prstGeom>
          <a:ln w="76200"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</xdr:cxnSp>
      <xdr:cxnSp macro="">
        <xdr:nvCxnSpPr>
          <xdr:cNvPr id="30" name="Straight Connector 29"/>
          <xdr:cNvCxnSpPr/>
        </xdr:nvCxnSpPr>
        <xdr:spPr>
          <a:xfrm flipH="1">
            <a:off x="4234802" y="2080387"/>
            <a:ext cx="2088856" cy="1347771"/>
          </a:xfrm>
          <a:prstGeom prst="line">
            <a:avLst/>
          </a:prstGeom>
          <a:ln w="76200">
            <a:solidFill>
              <a:srgbClr val="00B050"/>
            </a:solidFill>
          </a:ln>
        </xdr:spPr>
        <xdr:style>
          <a:lnRef idx="1">
            <a:schemeClr val="accent3"/>
          </a:lnRef>
          <a:fillRef idx="1003">
            <a:schemeClr val="lt2"/>
          </a:fillRef>
          <a:effectRef idx="1">
            <a:schemeClr val="accent3"/>
          </a:effectRef>
          <a:fontRef idx="minor">
            <a:schemeClr val="dk1"/>
          </a:fontRef>
        </xdr:style>
      </xdr:cxnSp>
      <xdr:cxnSp macro="">
        <xdr:nvCxnSpPr>
          <xdr:cNvPr id="6" name="Straight Arrow Connector 5"/>
          <xdr:cNvCxnSpPr/>
        </xdr:nvCxnSpPr>
        <xdr:spPr>
          <a:xfrm>
            <a:off x="3897818" y="1459554"/>
            <a:ext cx="2857478" cy="3127"/>
          </a:xfrm>
          <a:prstGeom prst="straightConnector1">
            <a:avLst/>
          </a:prstGeom>
          <a:ln>
            <a:solidFill>
              <a:srgbClr val="00B050"/>
            </a:solidFill>
            <a:headEnd type="triangle"/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7" name="TextBox 6"/>
          <xdr:cNvSpPr txBox="1"/>
        </xdr:nvSpPr>
        <xdr:spPr>
          <a:xfrm>
            <a:off x="5169857" y="1323753"/>
            <a:ext cx="249335" cy="215717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b">
            <a:noAutofit/>
          </a:bodyPr>
          <a:lstStyle/>
          <a:p>
            <a:r>
              <a:rPr lang="en-US" sz="1100"/>
              <a:t>Lx</a:t>
            </a:r>
          </a:p>
        </xdr:txBody>
      </xdr:sp>
      <xdr:cxnSp macro="">
        <xdr:nvCxnSpPr>
          <xdr:cNvPr id="8" name="Straight Arrow Connector 7"/>
          <xdr:cNvCxnSpPr/>
        </xdr:nvCxnSpPr>
        <xdr:spPr>
          <a:xfrm>
            <a:off x="3651239" y="1568237"/>
            <a:ext cx="10847" cy="2153469"/>
          </a:xfrm>
          <a:prstGeom prst="straightConnector1">
            <a:avLst/>
          </a:prstGeom>
          <a:ln>
            <a:solidFill>
              <a:srgbClr val="00B050"/>
            </a:solidFill>
            <a:headEnd type="triangle"/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9" name="TextBox 8"/>
          <xdr:cNvSpPr txBox="1"/>
        </xdr:nvSpPr>
        <xdr:spPr>
          <a:xfrm>
            <a:off x="3423683" y="2561689"/>
            <a:ext cx="249335" cy="215717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b">
            <a:noAutofit/>
          </a:bodyPr>
          <a:lstStyle/>
          <a:p>
            <a:r>
              <a:rPr lang="en-US" sz="1100"/>
              <a:t>Ly</a:t>
            </a:r>
          </a:p>
        </xdr:txBody>
      </xdr:sp>
    </xdr:grpSp>
    <xdr:clientData/>
  </xdr:twoCellAnchor>
  <xdr:oneCellAnchor>
    <xdr:from>
      <xdr:col>4</xdr:col>
      <xdr:colOff>272226</xdr:colOff>
      <xdr:row>16</xdr:row>
      <xdr:rowOff>0</xdr:rowOff>
    </xdr:from>
    <xdr:ext cx="158120" cy="1549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0" name="TextBox 109"/>
            <xdr:cNvSpPr txBox="1"/>
          </xdr:nvSpPr>
          <xdr:spPr>
            <a:xfrm>
              <a:off x="1505886" y="2496009"/>
              <a:ext cx="158120" cy="1549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b="0" i="1">
                        <a:latin typeface="Cambria Math" panose="02040503050406030204" pitchFamily="18" charset="0"/>
                      </a:rPr>
                      <m:t>𝑐𝑚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10" name="TextBox 109"/>
            <xdr:cNvSpPr txBox="1"/>
          </xdr:nvSpPr>
          <xdr:spPr>
            <a:xfrm>
              <a:off x="1505886" y="2496009"/>
              <a:ext cx="158120" cy="1549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US" sz="800" b="0" i="0">
                  <a:latin typeface="Cambria Math" panose="02040503050406030204" pitchFamily="18" charset="0"/>
                </a:rPr>
                <a:t>𝑐𝑚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402350</xdr:colOff>
      <xdr:row>18</xdr:row>
      <xdr:rowOff>88002</xdr:rowOff>
    </xdr:from>
    <xdr:ext cx="822405" cy="281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1" name="TextBox 110"/>
            <xdr:cNvSpPr txBox="1"/>
          </xdr:nvSpPr>
          <xdr:spPr>
            <a:xfrm>
              <a:off x="849861" y="2846968"/>
              <a:ext cx="822405" cy="281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900" b="0" i="1">
                        <a:latin typeface="Cambria Math" panose="02040503050406030204" pitchFamily="18" charset="0"/>
                      </a:rPr>
                      <m:t>𝐿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sSubSup>
                          <m:sSubSup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sub>
                          <m:sup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bSup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+</m:t>
                        </m:r>
                        <m:sSubSup>
                          <m:sSubSup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𝑦</m:t>
                            </m:r>
                          </m:sub>
                          <m:sup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bSup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=</m:t>
                        </m:r>
                      </m:e>
                    </m:rad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11" name="TextBox 110"/>
            <xdr:cNvSpPr txBox="1"/>
          </xdr:nvSpPr>
          <xdr:spPr>
            <a:xfrm>
              <a:off x="849861" y="2846968"/>
              <a:ext cx="822405" cy="281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900" b="0" i="0">
                  <a:latin typeface="Cambria Math" panose="02040503050406030204" pitchFamily="18" charset="0"/>
                </a:rPr>
                <a:t>𝐿=√(𝐿_𝑥^2+𝐿_𝑦^2=)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5</xdr:col>
      <xdr:colOff>300917</xdr:colOff>
      <xdr:row>19</xdr:row>
      <xdr:rowOff>0</xdr:rowOff>
    </xdr:from>
    <xdr:ext cx="158120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2" name="TextBox 111"/>
            <xdr:cNvSpPr txBox="1"/>
          </xdr:nvSpPr>
          <xdr:spPr>
            <a:xfrm>
              <a:off x="1964923" y="2960783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b="0" i="1">
                        <a:latin typeface="Cambria Math" panose="02040503050406030204" pitchFamily="18" charset="0"/>
                      </a:rPr>
                      <m:t>𝑐𝑚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12" name="TextBox 111"/>
            <xdr:cNvSpPr txBox="1"/>
          </xdr:nvSpPr>
          <xdr:spPr>
            <a:xfrm>
              <a:off x="1964923" y="2960783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b="0" i="0">
                  <a:latin typeface="Cambria Math" panose="02040503050406030204" pitchFamily="18" charset="0"/>
                </a:rPr>
                <a:t>𝑐𝑚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4</xdr:col>
      <xdr:colOff>374024</xdr:colOff>
      <xdr:row>10</xdr:row>
      <xdr:rowOff>8652</xdr:rowOff>
    </xdr:from>
    <xdr:ext cx="144335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2" name="TextBox 91"/>
            <xdr:cNvSpPr txBox="1"/>
          </xdr:nvSpPr>
          <xdr:spPr>
            <a:xfrm>
              <a:off x="1547880" y="1417279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92" name="TextBox 91"/>
            <xdr:cNvSpPr txBox="1"/>
          </xdr:nvSpPr>
          <xdr:spPr>
            <a:xfrm>
              <a:off x="1547880" y="1417279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4</xdr:col>
      <xdr:colOff>372145</xdr:colOff>
      <xdr:row>11</xdr:row>
      <xdr:rowOff>20190</xdr:rowOff>
    </xdr:from>
    <xdr:ext cx="144335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TextBox 92"/>
            <xdr:cNvSpPr txBox="1"/>
          </xdr:nvSpPr>
          <xdr:spPr>
            <a:xfrm>
              <a:off x="1546001" y="1583095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93" name="TextBox 92"/>
            <xdr:cNvSpPr txBox="1"/>
          </xdr:nvSpPr>
          <xdr:spPr>
            <a:xfrm>
              <a:off x="1546001" y="1583095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85856</xdr:colOff>
      <xdr:row>27</xdr:row>
      <xdr:rowOff>96190</xdr:rowOff>
    </xdr:from>
    <xdr:ext cx="599780" cy="28270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323981" y="4298774"/>
              <a:ext cx="599780" cy="2827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l-GR" sz="900" i="1">
                            <a:latin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𝑥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𝐾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sub>
                        </m:s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𝑟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sub>
                        </m:sSub>
                      </m:den>
                    </m:f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323981" y="4298774"/>
              <a:ext cx="599780" cy="2827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l-GR" sz="900" i="0">
                  <a:latin typeface="Cambria Math" panose="02040503050406030204" pitchFamily="18" charset="0"/>
                </a:rPr>
                <a:t>λ</a:t>
              </a:r>
              <a:r>
                <a:rPr lang="en-US" sz="900" i="0">
                  <a:latin typeface="Cambria Math" panose="02040503050406030204" pitchFamily="18" charset="0"/>
                </a:rPr>
                <a:t>_</a:t>
              </a:r>
              <a:r>
                <a:rPr lang="en-US" sz="900" b="0" i="0">
                  <a:latin typeface="Cambria Math" panose="02040503050406030204" pitchFamily="18" charset="0"/>
                </a:rPr>
                <a:t>𝑥=(𝐾_𝑥 𝐿)/𝑟_𝑥 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1</xdr:col>
      <xdr:colOff>77542</xdr:colOff>
      <xdr:row>30</xdr:row>
      <xdr:rowOff>100746</xdr:rowOff>
    </xdr:from>
    <xdr:ext cx="606576" cy="3019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TextBox 94"/>
            <xdr:cNvSpPr txBox="1"/>
          </xdr:nvSpPr>
          <xdr:spPr>
            <a:xfrm>
              <a:off x="315667" y="4766709"/>
              <a:ext cx="606576" cy="301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l-GR" sz="900" i="1">
                            <a:latin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𝐾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𝑦</m:t>
                            </m:r>
                          </m:sub>
                        </m:s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𝑟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𝑦</m:t>
                            </m:r>
                          </m:sub>
                        </m:sSub>
                      </m:den>
                    </m:f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95" name="TextBox 94"/>
            <xdr:cNvSpPr txBox="1"/>
          </xdr:nvSpPr>
          <xdr:spPr>
            <a:xfrm>
              <a:off x="315667" y="4766709"/>
              <a:ext cx="606576" cy="3019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l-GR" sz="900" i="0">
                  <a:latin typeface="Cambria Math" panose="02040503050406030204" pitchFamily="18" charset="0"/>
                </a:rPr>
                <a:t>λ</a:t>
              </a:r>
              <a:r>
                <a:rPr lang="en-US" sz="900" i="0">
                  <a:latin typeface="Cambria Math" panose="02040503050406030204" pitchFamily="18" charset="0"/>
                </a:rPr>
                <a:t>_</a:t>
              </a:r>
              <a:r>
                <a:rPr lang="en-US" sz="900" b="0" i="0">
                  <a:latin typeface="Cambria Math" panose="02040503050406030204" pitchFamily="18" charset="0"/>
                </a:rPr>
                <a:t>𝑦=(𝐾_𝑦 𝐿)/𝑟_𝑦 =</a:t>
              </a:r>
              <a:endParaRPr lang="en-US" sz="900"/>
            </a:p>
          </xdr:txBody>
        </xdr:sp>
      </mc:Fallback>
    </mc:AlternateContent>
    <xdr:clientData/>
  </xdr:oneCellAnchor>
  <xdr:twoCellAnchor>
    <xdr:from>
      <xdr:col>3</xdr:col>
      <xdr:colOff>216280</xdr:colOff>
      <xdr:row>30</xdr:row>
      <xdr:rowOff>341</xdr:rowOff>
    </xdr:from>
    <xdr:to>
      <xdr:col>4</xdr:col>
      <xdr:colOff>378902</xdr:colOff>
      <xdr:row>30</xdr:row>
      <xdr:rowOff>2925</xdr:rowOff>
    </xdr:to>
    <xdr:cxnSp macro="">
      <xdr:nvCxnSpPr>
        <xdr:cNvPr id="77" name="Straight Arrow Connector 76"/>
        <xdr:cNvCxnSpPr/>
      </xdr:nvCxnSpPr>
      <xdr:spPr>
        <a:xfrm flipV="1">
          <a:off x="1121155" y="4589659"/>
          <a:ext cx="560940" cy="258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5</xdr:col>
      <xdr:colOff>23880</xdr:colOff>
      <xdr:row>29</xdr:row>
      <xdr:rowOff>81439</xdr:rowOff>
    </xdr:from>
    <xdr:ext cx="388953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2" name="TextBox 101"/>
            <xdr:cNvSpPr txBox="1"/>
          </xdr:nvSpPr>
          <xdr:spPr>
            <a:xfrm>
              <a:off x="1658576" y="4592942"/>
              <a:ext cx="388953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l-GR" sz="900" i="1">
                            <a:latin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𝑚𝑎𝑥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02" name="TextBox 101"/>
            <xdr:cNvSpPr txBox="1"/>
          </xdr:nvSpPr>
          <xdr:spPr>
            <a:xfrm>
              <a:off x="1658576" y="4592942"/>
              <a:ext cx="388953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l-GR" sz="900" i="0">
                  <a:latin typeface="Cambria Math" panose="02040503050406030204" pitchFamily="18" charset="0"/>
                </a:rPr>
                <a:t>λ</a:t>
              </a:r>
              <a:r>
                <a:rPr lang="en-US" sz="900" i="0">
                  <a:latin typeface="Cambria Math" panose="02040503050406030204" pitchFamily="18" charset="0"/>
                </a:rPr>
                <a:t>_</a:t>
              </a:r>
              <a:r>
                <a:rPr lang="en-US" sz="900" b="0" i="0">
                  <a:latin typeface="Cambria Math" panose="02040503050406030204" pitchFamily="18" charset="0"/>
                </a:rPr>
                <a:t>𝑚𝑎𝑥=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1</xdr:col>
      <xdr:colOff>48716</xdr:colOff>
      <xdr:row>33</xdr:row>
      <xdr:rowOff>83795</xdr:rowOff>
    </xdr:from>
    <xdr:ext cx="640368" cy="3063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" name="TextBox 102"/>
            <xdr:cNvSpPr txBox="1"/>
          </xdr:nvSpPr>
          <xdr:spPr>
            <a:xfrm>
              <a:off x="286841" y="5213136"/>
              <a:ext cx="640368" cy="3063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𝑒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𝜋</m:t>
                            </m:r>
                          </m:e>
                          <m:sup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𝐸</m:t>
                        </m:r>
                      </m:num>
                      <m:den>
                        <m:sSubSup>
                          <m:sSubSup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m:rPr>
                                <m:sty m:val="p"/>
                              </m:rPr>
                              <a:rPr lang="el-GR" sz="900" b="0" i="1">
                                <a:latin typeface="Cambria Math" panose="02040503050406030204" pitchFamily="18" charset="0"/>
                              </a:rPr>
                              <m:t>λ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𝑚𝑎𝑥</m:t>
                            </m:r>
                          </m:sub>
                          <m:sup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bSup>
                      </m:den>
                    </m:f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03" name="TextBox 102"/>
            <xdr:cNvSpPr txBox="1"/>
          </xdr:nvSpPr>
          <xdr:spPr>
            <a:xfrm>
              <a:off x="286841" y="5213136"/>
              <a:ext cx="640368" cy="3063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𝐹_𝑒=(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</a:t>
              </a:r>
              <a:r>
                <a:rPr lang="en-US" sz="900" b="0" i="0">
                  <a:latin typeface="Cambria Math" panose="02040503050406030204" pitchFamily="18" charset="0"/>
                </a:rPr>
                <a:t>2 𝐸)/(</a:t>
              </a:r>
              <a:r>
                <a:rPr lang="el-GR" sz="900" b="0" i="0">
                  <a:latin typeface="Cambria Math" panose="02040503050406030204" pitchFamily="18" charset="0"/>
                </a:rPr>
                <a:t>λ</a:t>
              </a:r>
              <a:r>
                <a:rPr lang="en-US" sz="900" b="0" i="0">
                  <a:latin typeface="Cambria Math" panose="02040503050406030204" pitchFamily="18" charset="0"/>
                </a:rPr>
                <a:t>_𝑚𝑎𝑥^2 )=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10</xdr:col>
      <xdr:colOff>450506</xdr:colOff>
      <xdr:row>27</xdr:row>
      <xdr:rowOff>21985</xdr:rowOff>
    </xdr:from>
    <xdr:ext cx="2567691" cy="4092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4157533" y="4224569"/>
              <a:ext cx="2567691" cy="409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900" b="0" i="1">
                        <a:latin typeface="Cambria Math" panose="02040503050406030204" pitchFamily="18" charset="0"/>
                      </a:rPr>
                      <m:t>𝐼𝑓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l-GR" sz="900" b="0" i="1">
                        <a:latin typeface="Cambria Math" panose="02040503050406030204" pitchFamily="18" charset="0"/>
                      </a:rPr>
                      <m:t>λ</m:t>
                    </m:r>
                    <m:r>
                      <a:rPr lang="el-GR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4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71</m:t>
                    </m:r>
                    <m:rad>
                      <m:radPr>
                        <m:degHide m:val="on"/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𝐹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𝑦</m:t>
                                </m:r>
                              </m:sub>
                            </m:sSub>
                          </m:den>
                        </m:f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</m:e>
                    </m:rad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𝑜𝑟</m:t>
                    </m:r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sSub>
                      <m:sSubPr>
                        <m:ctrlP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𝑒</m:t>
                        </m:r>
                      </m:sub>
                    </m:sSub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≥</m:t>
                    </m:r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0</m:t>
                    </m:r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</m:t>
                    </m:r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44</m:t>
                    </m:r>
                    <m:sSub>
                      <m:sSubPr>
                        <m:ctrlP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𝑐𝑟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sSup>
                          <m:sSupPr>
                            <m:ctrlPr>
                              <a:rPr lang="en-US" sz="9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n-US" sz="9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</m:t>
                            </m:r>
                            <m:r>
                              <a:rPr lang="en-US" sz="9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.</m:t>
                            </m:r>
                            <m:r>
                              <a:rPr lang="en-US" sz="9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658</m:t>
                            </m:r>
                          </m:e>
                          <m:sup>
                            <m:f>
                              <m:fPr>
                                <m:ctrlPr>
                                  <a:rPr lang="en-US" sz="9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US" sz="9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9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𝐹</m:t>
                                    </m:r>
                                  </m:e>
                                  <m:sub>
                                    <m:r>
                                      <a:rPr lang="en-US" sz="9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n-US" sz="9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9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𝐹</m:t>
                                    </m:r>
                                  </m:e>
                                  <m:sub>
                                    <m:r>
                                      <a:rPr lang="en-US" sz="9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𝑒</m:t>
                                    </m:r>
                                  </m:sub>
                                </m:sSub>
                              </m:den>
                            </m:f>
                          </m:sup>
                        </m:sSup>
                      </m:e>
                    </m:d>
                    <m:sSub>
                      <m:sSubPr>
                        <m:ctrlP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4157533" y="4224569"/>
              <a:ext cx="2567691" cy="409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𝐼𝑓 </a:t>
              </a:r>
              <a:r>
                <a:rPr lang="el-GR" sz="900" b="0" i="0">
                  <a:latin typeface="Cambria Math" panose="02040503050406030204" pitchFamily="18" charset="0"/>
                </a:rPr>
                <a:t>λ</a:t>
              </a:r>
              <a:r>
                <a:rPr lang="el-GR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4.71√(𝐸/𝐹_𝑦   )</a:t>
              </a:r>
              <a:r>
                <a:rPr lang="en-US" sz="9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𝑜𝑟 𝐹_𝑒≥0.44𝐹_𝑦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→𝐹_𝑐𝑟=[</a:t>
              </a:r>
              <a:r>
                <a:rPr lang="en-US" sz="9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〖0.658〗^(𝐹_𝑦/𝐹_𝑒 )</a:t>
              </a:r>
              <a:r>
                <a:rPr lang="en-US" sz="9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] 𝐹_𝑦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11</xdr:col>
      <xdr:colOff>12872</xdr:colOff>
      <xdr:row>31</xdr:row>
      <xdr:rowOff>19307</xdr:rowOff>
    </xdr:from>
    <xdr:ext cx="2359877" cy="4092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4" name="TextBox 113"/>
            <xdr:cNvSpPr txBox="1"/>
          </xdr:nvSpPr>
          <xdr:spPr>
            <a:xfrm>
              <a:off x="4170406" y="4839729"/>
              <a:ext cx="2359877" cy="409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900" b="0" i="1">
                        <a:latin typeface="Cambria Math" panose="02040503050406030204" pitchFamily="18" charset="0"/>
                      </a:rPr>
                      <m:t>𝐼𝑓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l-GR" sz="900" b="0" i="1">
                        <a:latin typeface="Cambria Math" panose="02040503050406030204" pitchFamily="18" charset="0"/>
                      </a:rPr>
                      <m:t>λ</m:t>
                    </m:r>
                    <m:r>
                      <a:rPr lang="el-GR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&gt;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4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71</m:t>
                    </m:r>
                    <m:rad>
                      <m:radPr>
                        <m:degHide m:val="on"/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𝐹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𝑦</m:t>
                                </m:r>
                              </m:sub>
                            </m:sSub>
                          </m:den>
                        </m:f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</m:e>
                    </m:rad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𝑜𝑟</m:t>
                    </m:r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sSub>
                      <m:sSubPr>
                        <m:ctrlP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𝑒</m:t>
                        </m:r>
                      </m:sub>
                    </m:sSub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&lt;</m:t>
                    </m:r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0</m:t>
                    </m:r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</m:t>
                    </m:r>
                    <m:r>
                      <a:rPr lang="en-US" sz="9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44</m:t>
                    </m:r>
                    <m:sSub>
                      <m:sSubPr>
                        <m:ctrlP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𝑐𝑟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877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𝑒</m:t>
                        </m:r>
                      </m:sub>
                    </m:sSub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14" name="TextBox 113"/>
            <xdr:cNvSpPr txBox="1"/>
          </xdr:nvSpPr>
          <xdr:spPr>
            <a:xfrm>
              <a:off x="4170406" y="4839729"/>
              <a:ext cx="2359877" cy="4092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ctr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𝐼𝑓 </a:t>
              </a:r>
              <a:r>
                <a:rPr lang="el-GR" sz="900" b="0" i="0">
                  <a:latin typeface="Cambria Math" panose="02040503050406030204" pitchFamily="18" charset="0"/>
                </a:rPr>
                <a:t>λ</a:t>
              </a:r>
              <a:r>
                <a:rPr lang="el-GR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&gt;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4.71√(𝐸/𝐹_𝑦   )</a:t>
              </a:r>
              <a:r>
                <a:rPr lang="en-US" sz="9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𝑜𝑟 𝐹_𝑒</a:t>
              </a:r>
              <a:r>
                <a:rPr lang="en-US" sz="9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&lt;</a:t>
              </a:r>
              <a:r>
                <a:rPr lang="en-US" sz="9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0.44𝐹_𝑦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→𝐹_𝑐𝑟=0.877𝐹_𝑒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10</xdr:col>
      <xdr:colOff>136072</xdr:colOff>
      <xdr:row>35</xdr:row>
      <xdr:rowOff>9396</xdr:rowOff>
    </xdr:from>
    <xdr:ext cx="290698" cy="15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8" name="TextBox 77"/>
            <xdr:cNvSpPr txBox="1"/>
          </xdr:nvSpPr>
          <xdr:spPr>
            <a:xfrm>
              <a:off x="3884221" y="5452253"/>
              <a:ext cx="29069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0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1000" b="0" i="1">
                            <a:latin typeface="Cambria Math" panose="02040503050406030204" pitchFamily="18" charset="0"/>
                          </a:rPr>
                          <m:t>𝑐𝑟</m:t>
                        </m:r>
                      </m:sub>
                    </m:sSub>
                    <m:r>
                      <a:rPr lang="en-US" sz="10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78" name="TextBox 77"/>
            <xdr:cNvSpPr txBox="1"/>
          </xdr:nvSpPr>
          <xdr:spPr>
            <a:xfrm>
              <a:off x="3884221" y="5452253"/>
              <a:ext cx="29069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/>
              <a:r>
                <a:rPr lang="en-US" sz="1000" b="0" i="0">
                  <a:latin typeface="Cambria Math" panose="02040503050406030204" pitchFamily="18" charset="0"/>
                </a:rPr>
                <a:t>𝐹_𝑐𝑟=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11</xdr:col>
      <xdr:colOff>418069</xdr:colOff>
      <xdr:row>35</xdr:row>
      <xdr:rowOff>23942</xdr:rowOff>
    </xdr:from>
    <xdr:ext cx="377091" cy="1275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5" name="TextBox 114"/>
            <xdr:cNvSpPr txBox="1"/>
          </xdr:nvSpPr>
          <xdr:spPr>
            <a:xfrm>
              <a:off x="4575603" y="5462202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/</m:t>
                    </m:r>
                    <m:sSup>
                      <m:sSup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𝑐𝑚</m:t>
                        </m:r>
                      </m:e>
                      <m:sup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15" name="TextBox 114"/>
            <xdr:cNvSpPr txBox="1"/>
          </xdr:nvSpPr>
          <xdr:spPr>
            <a:xfrm>
              <a:off x="4575603" y="5462202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𝑔/〖𝑐𝑚〗^2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65104</xdr:colOff>
      <xdr:row>37</xdr:row>
      <xdr:rowOff>15580</xdr:rowOff>
    </xdr:from>
    <xdr:ext cx="952377" cy="1499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9" name="TextBox 78"/>
            <xdr:cNvSpPr txBox="1"/>
          </xdr:nvSpPr>
          <xdr:spPr>
            <a:xfrm>
              <a:off x="306322" y="5767690"/>
              <a:ext cx="952377" cy="1499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𝜑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</m:sub>
                    </m:sSub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9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𝑐𝑟</m:t>
                        </m:r>
                      </m:sub>
                    </m:sSub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𝑔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79" name="TextBox 78"/>
            <xdr:cNvSpPr txBox="1"/>
          </xdr:nvSpPr>
          <xdr:spPr>
            <a:xfrm>
              <a:off x="306322" y="5767690"/>
              <a:ext cx="952377" cy="1499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𝜑_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𝑐 𝑃_𝑛=0.9𝐹_𝑐𝑟 𝐴_𝑔=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5</xdr:col>
      <xdr:colOff>31764</xdr:colOff>
      <xdr:row>37</xdr:row>
      <xdr:rowOff>27144</xdr:rowOff>
    </xdr:from>
    <xdr:ext cx="144335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7" name="TextBox 116"/>
            <xdr:cNvSpPr txBox="1"/>
          </xdr:nvSpPr>
          <xdr:spPr>
            <a:xfrm>
              <a:off x="1686733" y="5783816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17" name="TextBox 116"/>
            <xdr:cNvSpPr txBox="1"/>
          </xdr:nvSpPr>
          <xdr:spPr>
            <a:xfrm>
              <a:off x="1686733" y="5783816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108138</xdr:colOff>
      <xdr:row>39</xdr:row>
      <xdr:rowOff>16917</xdr:rowOff>
    </xdr:from>
    <xdr:ext cx="378180" cy="282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0" name="TextBox 79"/>
            <xdr:cNvSpPr txBox="1"/>
          </xdr:nvSpPr>
          <xdr:spPr>
            <a:xfrm>
              <a:off x="557632" y="5913855"/>
              <a:ext cx="378180" cy="282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9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𝑃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𝑟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𝜑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  <m:sSub>
                          <m:sSubPr>
                            <m:ctrlPr>
                              <a:rPr lang="en-US" sz="9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𝑃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</m:den>
                    </m:f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80" name="TextBox 79"/>
            <xdr:cNvSpPr txBox="1"/>
          </xdr:nvSpPr>
          <xdr:spPr>
            <a:xfrm>
              <a:off x="557632" y="5913855"/>
              <a:ext cx="378180" cy="282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900" b="0" i="0">
                  <a:latin typeface="Cambria Math" panose="02040503050406030204" pitchFamily="18" charset="0"/>
                </a:rPr>
                <a:t>𝑃_𝑟/(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𝜑_</a:t>
              </a:r>
              <a:r>
                <a:rPr lang="en-US" sz="900" b="0" i="0">
                  <a:latin typeface="Cambria Math" panose="02040503050406030204" pitchFamily="18" charset="0"/>
                </a:rPr>
                <a:t>𝑐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𝑃_𝑛 )</a:t>
              </a:r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4</xdr:col>
      <xdr:colOff>272226</xdr:colOff>
      <xdr:row>17</xdr:row>
      <xdr:rowOff>17212</xdr:rowOff>
    </xdr:from>
    <xdr:ext cx="158120" cy="1549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TextBox 117"/>
            <xdr:cNvSpPr txBox="1"/>
          </xdr:nvSpPr>
          <xdr:spPr>
            <a:xfrm>
              <a:off x="1505886" y="2668146"/>
              <a:ext cx="158120" cy="1549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b="0" i="1">
                        <a:latin typeface="Cambria Math" panose="02040503050406030204" pitchFamily="18" charset="0"/>
                      </a:rPr>
                      <m:t>𝑐𝑚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18" name="TextBox 117"/>
            <xdr:cNvSpPr txBox="1"/>
          </xdr:nvSpPr>
          <xdr:spPr>
            <a:xfrm>
              <a:off x="1505886" y="2668146"/>
              <a:ext cx="158120" cy="1549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US" sz="800" b="0" i="0">
                  <a:latin typeface="Cambria Math" panose="02040503050406030204" pitchFamily="18" charset="0"/>
                </a:rPr>
                <a:t>𝑐𝑚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111256</xdr:colOff>
      <xdr:row>43</xdr:row>
      <xdr:rowOff>7276</xdr:rowOff>
    </xdr:from>
    <xdr:ext cx="355867" cy="28270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2" name="TextBox 81"/>
            <xdr:cNvSpPr txBox="1"/>
          </xdr:nvSpPr>
          <xdr:spPr>
            <a:xfrm>
              <a:off x="562218" y="6590484"/>
              <a:ext cx="355867" cy="2827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sSub>
                          <m:sSubPr>
                            <m:ctrlPr>
                              <a:rPr lang="en-US" sz="9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𝑟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𝑚𝑖𝑛</m:t>
                            </m:r>
                          </m:sub>
                        </m:sSub>
                      </m:den>
                    </m:f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82" name="TextBox 81"/>
            <xdr:cNvSpPr txBox="1"/>
          </xdr:nvSpPr>
          <xdr:spPr>
            <a:xfrm>
              <a:off x="562218" y="6590484"/>
              <a:ext cx="355867" cy="2827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900" b="0" i="0">
                  <a:latin typeface="Cambria Math" panose="02040503050406030204" pitchFamily="18" charset="0"/>
                </a:rPr>
                <a:t>𝐿/𝑟_𝑚𝑖𝑛 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3</xdr:col>
      <xdr:colOff>366729</xdr:colOff>
      <xdr:row>43</xdr:row>
      <xdr:rowOff>71499</xdr:rowOff>
    </xdr:from>
    <xdr:ext cx="336374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3" name="TextBox 82"/>
            <xdr:cNvSpPr txBox="1"/>
          </xdr:nvSpPr>
          <xdr:spPr>
            <a:xfrm>
              <a:off x="1276707" y="6713486"/>
              <a:ext cx="336374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300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83" name="TextBox 82"/>
            <xdr:cNvSpPr txBox="1"/>
          </xdr:nvSpPr>
          <xdr:spPr>
            <a:xfrm>
              <a:off x="1276707" y="6713486"/>
              <a:ext cx="336374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300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92951</xdr:colOff>
      <xdr:row>46</xdr:row>
      <xdr:rowOff>74475</xdr:rowOff>
    </xdr:from>
    <xdr:ext cx="916661" cy="1499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1" name="TextBox 80"/>
            <xdr:cNvSpPr txBox="1"/>
          </xdr:nvSpPr>
          <xdr:spPr>
            <a:xfrm>
              <a:off x="331076" y="7119691"/>
              <a:ext cx="916661" cy="1499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𝜑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9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𝑔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81" name="TextBox 80"/>
            <xdr:cNvSpPr txBox="1"/>
          </xdr:nvSpPr>
          <xdr:spPr>
            <a:xfrm>
              <a:off x="331076" y="7119691"/>
              <a:ext cx="916661" cy="1499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𝜑_</a:t>
              </a:r>
              <a:r>
                <a:rPr lang="en-US" sz="900" b="0" i="0">
                  <a:latin typeface="Cambria Math" panose="02040503050406030204" pitchFamily="18" charset="0"/>
                </a:rPr>
                <a:t>𝑡 𝑃_𝑛=0.9𝐹_𝑦 𝐴_𝑔=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1</xdr:col>
      <xdr:colOff>27754</xdr:colOff>
      <xdr:row>48</xdr:row>
      <xdr:rowOff>74968</xdr:rowOff>
    </xdr:from>
    <xdr:ext cx="977511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9" name="TextBox 108"/>
            <xdr:cNvSpPr txBox="1"/>
          </xdr:nvSpPr>
          <xdr:spPr>
            <a:xfrm>
              <a:off x="265879" y="7423998"/>
              <a:ext cx="977511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𝜑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75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𝑢</m:t>
                        </m:r>
                      </m:sub>
                    </m:sSub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𝑒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09" name="TextBox 108"/>
            <xdr:cNvSpPr txBox="1"/>
          </xdr:nvSpPr>
          <xdr:spPr>
            <a:xfrm>
              <a:off x="265879" y="7423998"/>
              <a:ext cx="977511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𝜑_</a:t>
              </a:r>
              <a:r>
                <a:rPr lang="en-US" sz="900" b="0" i="0">
                  <a:latin typeface="Cambria Math" panose="02040503050406030204" pitchFamily="18" charset="0"/>
                </a:rPr>
                <a:t>𝑡 𝑃_𝑛=0.75𝐹_𝑢 𝐴_𝑒=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5</xdr:col>
      <xdr:colOff>47625</xdr:colOff>
      <xdr:row>14</xdr:row>
      <xdr:rowOff>23812</xdr:rowOff>
    </xdr:from>
    <xdr:ext cx="377091" cy="1275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TextBox 115"/>
            <xdr:cNvSpPr txBox="1"/>
          </xdr:nvSpPr>
          <xdr:spPr>
            <a:xfrm>
              <a:off x="1706819" y="2048643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/</m:t>
                    </m:r>
                    <m:sSup>
                      <m:sSup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𝑐𝑚</m:t>
                        </m:r>
                      </m:e>
                      <m:sup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16" name="TextBox 115"/>
            <xdr:cNvSpPr txBox="1"/>
          </xdr:nvSpPr>
          <xdr:spPr>
            <a:xfrm>
              <a:off x="1706819" y="2048643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𝑔/〖𝑐𝑚〗^2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5</xdr:col>
      <xdr:colOff>13327</xdr:colOff>
      <xdr:row>46</xdr:row>
      <xdr:rowOff>70411</xdr:rowOff>
    </xdr:from>
    <xdr:ext cx="144335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9" name="TextBox 118"/>
            <xdr:cNvSpPr txBox="1"/>
          </xdr:nvSpPr>
          <xdr:spPr>
            <a:xfrm>
              <a:off x="1773030" y="7181873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19" name="TextBox 118"/>
            <xdr:cNvSpPr txBox="1"/>
          </xdr:nvSpPr>
          <xdr:spPr>
            <a:xfrm>
              <a:off x="1773030" y="7181873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5</xdr:col>
      <xdr:colOff>9930</xdr:colOff>
      <xdr:row>48</xdr:row>
      <xdr:rowOff>78223</xdr:rowOff>
    </xdr:from>
    <xdr:ext cx="144335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0" name="TextBox 119"/>
            <xdr:cNvSpPr txBox="1"/>
          </xdr:nvSpPr>
          <xdr:spPr>
            <a:xfrm>
              <a:off x="1744841" y="7485611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20" name="TextBox 119"/>
            <xdr:cNvSpPr txBox="1"/>
          </xdr:nvSpPr>
          <xdr:spPr>
            <a:xfrm>
              <a:off x="1744841" y="7485611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4</xdr:col>
      <xdr:colOff>84497</xdr:colOff>
      <xdr:row>52</xdr:row>
      <xdr:rowOff>15363</xdr:rowOff>
    </xdr:from>
    <xdr:ext cx="380745" cy="2827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1" name="TextBox 120"/>
            <xdr:cNvSpPr txBox="1"/>
          </xdr:nvSpPr>
          <xdr:spPr>
            <a:xfrm>
              <a:off x="530021" y="7904214"/>
              <a:ext cx="380745" cy="282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9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𝑇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𝑟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𝜑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sub>
                        </m:sSub>
                        <m:sSub>
                          <m:sSubPr>
                            <m:ctrlPr>
                              <a:rPr lang="en-US" sz="9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𝑇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</m:den>
                    </m:f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21" name="TextBox 120"/>
            <xdr:cNvSpPr txBox="1"/>
          </xdr:nvSpPr>
          <xdr:spPr>
            <a:xfrm>
              <a:off x="530021" y="7904214"/>
              <a:ext cx="380745" cy="282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900" b="0" i="0">
                  <a:latin typeface="Cambria Math" panose="02040503050406030204" pitchFamily="18" charset="0"/>
                </a:rPr>
                <a:t>𝑇_𝑟/(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𝜑_</a:t>
              </a:r>
              <a:r>
                <a:rPr lang="en-US" sz="900" b="0" i="0">
                  <a:latin typeface="Cambria Math" panose="02040503050406030204" pitchFamily="18" charset="0"/>
                </a:rPr>
                <a:t>𝑡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𝑇_𝑛 )</a:t>
              </a:r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2</xdr:col>
      <xdr:colOff>34750</xdr:colOff>
      <xdr:row>55</xdr:row>
      <xdr:rowOff>16908</xdr:rowOff>
    </xdr:from>
    <xdr:ext cx="1191160" cy="2819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4" name="TextBox 83"/>
            <xdr:cNvSpPr txBox="1"/>
          </xdr:nvSpPr>
          <xdr:spPr>
            <a:xfrm>
              <a:off x="484357" y="8512808"/>
              <a:ext cx="1191160" cy="2819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9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9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𝑟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75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l-GR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𝑚𝑎𝑥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  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𝐿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84" name="TextBox 83"/>
            <xdr:cNvSpPr txBox="1"/>
          </xdr:nvSpPr>
          <xdr:spPr>
            <a:xfrm>
              <a:off x="484357" y="8512808"/>
              <a:ext cx="1191160" cy="2819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𝐿_1/𝑟_1 </a:t>
              </a:r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0.75</a:t>
              </a:r>
              <a:r>
                <a:rPr lang="el-GR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λ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_𝑚𝑎𝑥→  𝐿_1≤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6</xdr:col>
      <xdr:colOff>0</xdr:colOff>
      <xdr:row>55</xdr:row>
      <xdr:rowOff>86591</xdr:rowOff>
    </xdr:from>
    <xdr:ext cx="158120" cy="1549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4" name="TextBox 123"/>
            <xdr:cNvSpPr txBox="1"/>
          </xdr:nvSpPr>
          <xdr:spPr>
            <a:xfrm>
              <a:off x="2059627" y="8634351"/>
              <a:ext cx="158120" cy="1549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b="0" i="1">
                        <a:latin typeface="Cambria Math" panose="02040503050406030204" pitchFamily="18" charset="0"/>
                      </a:rPr>
                      <m:t>𝑐𝑚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24" name="TextBox 123"/>
            <xdr:cNvSpPr txBox="1"/>
          </xdr:nvSpPr>
          <xdr:spPr>
            <a:xfrm>
              <a:off x="2059627" y="8634351"/>
              <a:ext cx="158120" cy="1549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US" sz="800" b="0" i="0">
                  <a:latin typeface="Cambria Math" panose="02040503050406030204" pitchFamily="18" charset="0"/>
                </a:rPr>
                <a:t>𝑐𝑚</a:t>
              </a:r>
              <a:endParaRPr lang="en-US" sz="800"/>
            </a:p>
          </xdr:txBody>
        </xdr:sp>
      </mc:Fallback>
    </mc:AlternateContent>
    <xdr:clientData/>
  </xdr:oneCellAnchor>
  <xdr:twoCellAnchor>
    <xdr:from>
      <xdr:col>11</xdr:col>
      <xdr:colOff>388135</xdr:colOff>
      <xdr:row>17</xdr:row>
      <xdr:rowOff>48228</xdr:rowOff>
    </xdr:from>
    <xdr:to>
      <xdr:col>12</xdr:col>
      <xdr:colOff>180854</xdr:colOff>
      <xdr:row>18</xdr:row>
      <xdr:rowOff>44900</xdr:rowOff>
    </xdr:to>
    <xdr:cxnSp macro="">
      <xdr:nvCxnSpPr>
        <xdr:cNvPr id="86" name="Straight Connector 85"/>
        <xdr:cNvCxnSpPr/>
      </xdr:nvCxnSpPr>
      <xdr:spPr>
        <a:xfrm flipH="1">
          <a:off x="4583958" y="2688703"/>
          <a:ext cx="220741" cy="150398"/>
        </a:xfrm>
        <a:prstGeom prst="line">
          <a:avLst/>
        </a:prstGeom>
        <a:ln w="0">
          <a:solidFill>
            <a:schemeClr val="tx1">
              <a:alpha val="97000"/>
            </a:schemeClr>
          </a:solidFill>
          <a:round/>
          <a:headEnd type="arrow" w="sm" len="sm"/>
          <a:tailEnd type="arrow"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355450</xdr:colOff>
      <xdr:row>16</xdr:row>
      <xdr:rowOff>138200</xdr:rowOff>
    </xdr:from>
    <xdr:ext cx="284360" cy="186269"/>
    <xdr:sp macro="" textlink="">
      <xdr:nvSpPr>
        <xdr:cNvPr id="90" name="TextBox 89"/>
        <xdr:cNvSpPr txBox="1"/>
      </xdr:nvSpPr>
      <xdr:spPr>
        <a:xfrm rot="19529928">
          <a:off x="4551273" y="2624948"/>
          <a:ext cx="284360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600"/>
            <a:t>L1</a:t>
          </a:r>
        </a:p>
      </xdr:txBody>
    </xdr:sp>
    <xdr:clientData/>
  </xdr:oneCellAnchor>
  <xdr:twoCellAnchor>
    <xdr:from>
      <xdr:col>12</xdr:col>
      <xdr:colOff>181741</xdr:colOff>
      <xdr:row>17</xdr:row>
      <xdr:rowOff>46970</xdr:rowOff>
    </xdr:from>
    <xdr:to>
      <xdr:col>12</xdr:col>
      <xdr:colOff>225811</xdr:colOff>
      <xdr:row>17</xdr:row>
      <xdr:rowOff>111118</xdr:rowOff>
    </xdr:to>
    <xdr:cxnSp macro="">
      <xdr:nvCxnSpPr>
        <xdr:cNvPr id="125" name="Straight Connector 124"/>
        <xdr:cNvCxnSpPr>
          <a:stCxn id="106" idx="1"/>
        </xdr:cNvCxnSpPr>
      </xdr:nvCxnSpPr>
      <xdr:spPr>
        <a:xfrm flipH="1" flipV="1">
          <a:off x="4805586" y="2687445"/>
          <a:ext cx="44070" cy="6414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394865</xdr:colOff>
      <xdr:row>18</xdr:row>
      <xdr:rowOff>42200</xdr:rowOff>
    </xdr:from>
    <xdr:to>
      <xdr:col>12</xdr:col>
      <xdr:colOff>5168</xdr:colOff>
      <xdr:row>18</xdr:row>
      <xdr:rowOff>102144</xdr:rowOff>
    </xdr:to>
    <xdr:cxnSp macro="">
      <xdr:nvCxnSpPr>
        <xdr:cNvPr id="130" name="Straight Connector 129"/>
        <xdr:cNvCxnSpPr>
          <a:stCxn id="107" idx="1"/>
        </xdr:cNvCxnSpPr>
      </xdr:nvCxnSpPr>
      <xdr:spPr>
        <a:xfrm flipH="1" flipV="1">
          <a:off x="4590688" y="2836401"/>
          <a:ext cx="38325" cy="5994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397591</xdr:colOff>
      <xdr:row>34</xdr:row>
      <xdr:rowOff>11304</xdr:rowOff>
    </xdr:from>
    <xdr:ext cx="377091" cy="1275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2" name="TextBox 121"/>
            <xdr:cNvSpPr txBox="1"/>
          </xdr:nvSpPr>
          <xdr:spPr>
            <a:xfrm>
              <a:off x="1302466" y="5206759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/</m:t>
                    </m:r>
                    <m:sSup>
                      <m:sSup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𝑐𝑚</m:t>
                        </m:r>
                      </m:e>
                      <m:sup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22" name="TextBox 121"/>
            <xdr:cNvSpPr txBox="1"/>
          </xdr:nvSpPr>
          <xdr:spPr>
            <a:xfrm>
              <a:off x="1302466" y="5206759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𝑔/〖𝑐𝑚〗^2</a:t>
              </a:r>
              <a:endParaRPr lang="en-US" sz="8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165281</xdr:colOff>
      <xdr:row>9</xdr:row>
      <xdr:rowOff>7661</xdr:rowOff>
    </xdr:from>
    <xdr:ext cx="824264" cy="2864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96676" y="1391293"/>
              <a:ext cx="824264" cy="2864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𝑇𝑎𝑛</m:t>
                        </m:r>
                      </m:e>
                      <m:sup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p>
                    </m:sSup>
                    <m:f>
                      <m:f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𝑦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sub>
                        </m:sSub>
                      </m:den>
                    </m:f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96676" y="1391293"/>
              <a:ext cx="824264" cy="2864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=〖𝑇𝑎𝑛〗^(−1)  𝐿_𝑦/𝐿_𝑥 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3</xdr:col>
      <xdr:colOff>236468</xdr:colOff>
      <xdr:row>9</xdr:row>
      <xdr:rowOff>21638</xdr:rowOff>
    </xdr:from>
    <xdr:ext cx="7200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836047" y="953431"/>
              <a:ext cx="7200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˚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836047" y="953431"/>
              <a:ext cx="7200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˚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61823</xdr:colOff>
      <xdr:row>12</xdr:row>
      <xdr:rowOff>78123</xdr:rowOff>
    </xdr:from>
    <xdr:ext cx="1140590" cy="1737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594657" y="1917108"/>
              <a:ext cx="1140590" cy="1737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𝑟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𝜑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</a:rPr>
                      <m:t>9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𝑔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594657" y="1917108"/>
              <a:ext cx="1140590" cy="1737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US" sz="900" b="0" i="0">
                  <a:latin typeface="Cambria Math" panose="02040503050406030204" pitchFamily="18" charset="0"/>
                </a:rPr>
                <a:t>𝑇_𝑟=</a:t>
              </a:r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𝜑_</a:t>
              </a:r>
              <a:r>
                <a:rPr lang="en-US" sz="900" b="0" i="0">
                  <a:latin typeface="Cambria Math" panose="02040503050406030204" pitchFamily="18" charset="0"/>
                </a:rPr>
                <a:t>𝑡 𝑃_𝑛=0.9𝐹_𝑦 𝐴_𝑔=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4</xdr:col>
      <xdr:colOff>287899</xdr:colOff>
      <xdr:row>12</xdr:row>
      <xdr:rowOff>96538</xdr:rowOff>
    </xdr:from>
    <xdr:ext cx="144335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277775" y="1935523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277775" y="1935523"/>
              <a:ext cx="1443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386149</xdr:colOff>
      <xdr:row>14</xdr:row>
      <xdr:rowOff>19307</xdr:rowOff>
    </xdr:from>
    <xdr:ext cx="377091" cy="1275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1454494" y="2201047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/</m:t>
                    </m:r>
                    <m:sSup>
                      <m:sSup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𝑐𝑚</m:t>
                        </m:r>
                      </m:e>
                      <m:sup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1454494" y="2201047"/>
              <a:ext cx="377091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𝑔/〖𝑐𝑚〗^2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196430</xdr:colOff>
      <xdr:row>28</xdr:row>
      <xdr:rowOff>11701</xdr:rowOff>
    </xdr:from>
    <xdr:ext cx="196913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1178238" y="4378547"/>
              <a:ext cx="196913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𝑚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1178238" y="4378547"/>
              <a:ext cx="196913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𝑚</a:t>
              </a:r>
              <a:r>
                <a:rPr lang="en-US" sz="800" b="0" i="0">
                  <a:latin typeface="Cambria Math" panose="02040503050406030204" pitchFamily="18" charset="0"/>
                </a:rPr>
                <a:t>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180310</xdr:colOff>
      <xdr:row>29</xdr:row>
      <xdr:rowOff>24888</xdr:rowOff>
    </xdr:from>
    <xdr:ext cx="196913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1162118" y="4545600"/>
              <a:ext cx="196913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𝑚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1162118" y="4545600"/>
              <a:ext cx="196913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𝑚</a:t>
              </a:r>
              <a:r>
                <a:rPr lang="en-US" sz="800" b="0" i="0">
                  <a:latin typeface="Cambria Math" panose="02040503050406030204" pitchFamily="18" charset="0"/>
                </a:rPr>
                <a:t>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19050</xdr:colOff>
      <xdr:row>32</xdr:row>
      <xdr:rowOff>147270</xdr:rowOff>
    </xdr:from>
    <xdr:ext cx="1880194" cy="2825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553915" y="4990366"/>
              <a:ext cx="1880194" cy="2825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𝜑</m:t>
                        </m:r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𝑤</m:t>
                            </m:r>
                          </m:sub>
                        </m:sSub>
                      </m:den>
                    </m:f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𝑚𝑖𝑛</m:t>
                    </m:r>
                    <m:d>
                      <m:dPr>
                        <m:begChr m:val="{"/>
                        <m:endChr m:val="}"/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eqArr>
                          <m:eqArr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eqArr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)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𝜑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𝐹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sub>
                            </m:s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𝑒</m:t>
                                </m:r>
                              </m:sub>
                            </m:sSub>
                          </m:e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)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𝜑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𝐹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𝐵𝑀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𝐵𝑀</m:t>
                                </m:r>
                              </m:sub>
                            </m:sSub>
                          </m:e>
                        </m:eqArr>
                      </m:e>
                    </m:d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553915" y="4990366"/>
              <a:ext cx="1880194" cy="2825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𝑓_𝑤</a:t>
              </a:r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𝑅_𝑤=(𝜑𝑅_𝑛)/𝐿_𝑤 =𝑚𝑖𝑛{█(1)𝛽.𝜑.𝐹_𝑤.𝑡_𝑒@2)𝜑.𝐹_𝐵𝑀 𝑡_𝐵𝑀 )}</a:t>
              </a:r>
              <a:endParaRPr lang="en-US" sz="900"/>
            </a:p>
          </xdr:txBody>
        </xdr:sp>
      </mc:Fallback>
    </mc:AlternateContent>
    <xdr:clientData/>
  </xdr:oneCellAnchor>
  <xdr:twoCellAnchor>
    <xdr:from>
      <xdr:col>5</xdr:col>
      <xdr:colOff>241789</xdr:colOff>
      <xdr:row>33</xdr:row>
      <xdr:rowOff>146538</xdr:rowOff>
    </xdr:from>
    <xdr:to>
      <xdr:col>6</xdr:col>
      <xdr:colOff>561126</xdr:colOff>
      <xdr:row>34</xdr:row>
      <xdr:rowOff>0</xdr:rowOff>
    </xdr:to>
    <xdr:cxnSp macro="">
      <xdr:nvCxnSpPr>
        <xdr:cNvPr id="11" name="Straight Arrow Connector 10"/>
        <xdr:cNvCxnSpPr/>
      </xdr:nvCxnSpPr>
      <xdr:spPr>
        <a:xfrm>
          <a:off x="2604178" y="5059929"/>
          <a:ext cx="701280" cy="435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7</xdr:col>
      <xdr:colOff>26377</xdr:colOff>
      <xdr:row>33</xdr:row>
      <xdr:rowOff>81327</xdr:rowOff>
    </xdr:from>
    <xdr:ext cx="291810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3418742" y="5078289"/>
              <a:ext cx="291810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3418742" y="5078289"/>
              <a:ext cx="291810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𝑅_𝑤=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8</xdr:col>
      <xdr:colOff>435979</xdr:colOff>
      <xdr:row>33</xdr:row>
      <xdr:rowOff>93287</xdr:rowOff>
    </xdr:from>
    <xdr:ext cx="329514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/>
            <xdr:cNvSpPr txBox="1"/>
          </xdr:nvSpPr>
          <xdr:spPr>
            <a:xfrm>
              <a:off x="4132811" y="5157569"/>
              <a:ext cx="329514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𝑐𝑚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5" name="TextBox 14"/>
            <xdr:cNvSpPr txBox="1"/>
          </xdr:nvSpPr>
          <xdr:spPr>
            <a:xfrm>
              <a:off x="4132811" y="5157569"/>
              <a:ext cx="329514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𝑔/𝑐𝑚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377415</xdr:colOff>
      <xdr:row>36</xdr:row>
      <xdr:rowOff>21408</xdr:rowOff>
    </xdr:from>
    <xdr:ext cx="1078116" cy="2511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/>
            <xdr:cNvSpPr txBox="1"/>
          </xdr:nvSpPr>
          <xdr:spPr>
            <a:xfrm>
              <a:off x="910249" y="5538363"/>
              <a:ext cx="1078116" cy="2511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𝑇𝑟</m:t>
                        </m:r>
                      </m:num>
                      <m:den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sSub>
                          <m:sSubPr>
                            <m:ctrlPr>
                              <a:rPr lang="en-US" sz="8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8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8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sub>
                        </m:sSub>
                      </m:den>
                    </m:f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sSub>
                      <m:sSubPr>
                        <m:ctrlP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  <m:sSub>
                      <m:sSubPr>
                        <m:ctrlP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𝐿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6" name="TextBox 15"/>
            <xdr:cNvSpPr txBox="1"/>
          </xdr:nvSpPr>
          <xdr:spPr>
            <a:xfrm>
              <a:off x="910249" y="5538363"/>
              <a:ext cx="1078116" cy="2511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800" b="0" i="0">
                  <a:latin typeface="Cambria Math" panose="02040503050406030204" pitchFamily="18" charset="0"/>
                </a:rPr>
                <a:t>𝑓_𝑤=𝑇𝑟/(𝑛𝐿_𝑤 )</a:t>
              </a:r>
              <a:r>
                <a:rPr lang="en-US" sz="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≤𝑅_𝑤→𝐿_𝑤≥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4</xdr:col>
      <xdr:colOff>301783</xdr:colOff>
      <xdr:row>36</xdr:row>
      <xdr:rowOff>89592</xdr:rowOff>
    </xdr:from>
    <xdr:ext cx="158120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/>
            <xdr:cNvSpPr txBox="1"/>
          </xdr:nvSpPr>
          <xdr:spPr>
            <a:xfrm>
              <a:off x="2291659" y="5606547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𝑐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7" name="TextBox 16"/>
            <xdr:cNvSpPr txBox="1"/>
          </xdr:nvSpPr>
          <xdr:spPr>
            <a:xfrm>
              <a:off x="2291659" y="5606547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𝑐</a:t>
              </a:r>
              <a:r>
                <a:rPr lang="en-US" sz="800" b="0" i="0">
                  <a:latin typeface="Cambria Math" panose="02040503050406030204" pitchFamily="18" charset="0"/>
                </a:rPr>
                <a:t>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19050</xdr:colOff>
      <xdr:row>41</xdr:row>
      <xdr:rowOff>147270</xdr:rowOff>
    </xdr:from>
    <xdr:ext cx="1880194" cy="2825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551884" y="5060661"/>
              <a:ext cx="1880194" cy="2825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𝜑</m:t>
                        </m:r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𝑤</m:t>
                            </m:r>
                          </m:sub>
                        </m:sSub>
                      </m:den>
                    </m:f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𝑚𝑖𝑛</m:t>
                    </m:r>
                    <m:d>
                      <m:dPr>
                        <m:begChr m:val="{"/>
                        <m:endChr m:val="}"/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eqArr>
                          <m:eqArr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eqArr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)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𝜑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𝐹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sub>
                            </m:s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𝑒</m:t>
                                </m:r>
                              </m:sub>
                            </m:sSub>
                          </m:e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)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𝜑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𝐹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𝐵𝑀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𝐵𝑀</m:t>
                                </m:r>
                              </m:sub>
                            </m:sSub>
                          </m:e>
                        </m:eqArr>
                      </m:e>
                    </m:d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551884" y="5060661"/>
              <a:ext cx="1880194" cy="2825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𝑓_𝑤</a:t>
              </a:r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𝑅_𝑤=(𝜑𝑅_𝑛)/𝐿_𝑤 =𝑚𝑖𝑛{█(1)𝛽.𝜑.𝐹_𝑤.𝑡_𝑒@2)𝜑.𝐹_𝐵𝑀 𝑡_𝐵𝑀 )}</a:t>
              </a:r>
              <a:endParaRPr lang="en-US" sz="900"/>
            </a:p>
          </xdr:txBody>
        </xdr:sp>
      </mc:Fallback>
    </mc:AlternateContent>
    <xdr:clientData/>
  </xdr:oneCellAnchor>
  <xdr:twoCellAnchor>
    <xdr:from>
      <xdr:col>5</xdr:col>
      <xdr:colOff>241789</xdr:colOff>
      <xdr:row>42</xdr:row>
      <xdr:rowOff>146538</xdr:rowOff>
    </xdr:from>
    <xdr:to>
      <xdr:col>6</xdr:col>
      <xdr:colOff>561126</xdr:colOff>
      <xdr:row>43</xdr:row>
      <xdr:rowOff>0</xdr:rowOff>
    </xdr:to>
    <xdr:cxnSp macro="">
      <xdr:nvCxnSpPr>
        <xdr:cNvPr id="19" name="Straight Arrow Connector 18"/>
        <xdr:cNvCxnSpPr/>
      </xdr:nvCxnSpPr>
      <xdr:spPr>
        <a:xfrm>
          <a:off x="2604178" y="5210820"/>
          <a:ext cx="701280" cy="435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7</xdr:col>
      <xdr:colOff>26377</xdr:colOff>
      <xdr:row>42</xdr:row>
      <xdr:rowOff>81327</xdr:rowOff>
    </xdr:from>
    <xdr:ext cx="291810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/>
            <xdr:cNvSpPr txBox="1"/>
          </xdr:nvSpPr>
          <xdr:spPr>
            <a:xfrm>
              <a:off x="3416711" y="5145609"/>
              <a:ext cx="291810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20" name="TextBox 19"/>
            <xdr:cNvSpPr txBox="1"/>
          </xdr:nvSpPr>
          <xdr:spPr>
            <a:xfrm>
              <a:off x="3416711" y="5145609"/>
              <a:ext cx="291810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𝑅_𝑤=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8</xdr:col>
      <xdr:colOff>435980</xdr:colOff>
      <xdr:row>42</xdr:row>
      <xdr:rowOff>93287</xdr:rowOff>
    </xdr:from>
    <xdr:ext cx="329514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/>
            <xdr:cNvSpPr txBox="1"/>
          </xdr:nvSpPr>
          <xdr:spPr>
            <a:xfrm>
              <a:off x="4132812" y="6534450"/>
              <a:ext cx="329514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𝑐𝑚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1" name="TextBox 20"/>
            <xdr:cNvSpPr txBox="1"/>
          </xdr:nvSpPr>
          <xdr:spPr>
            <a:xfrm>
              <a:off x="4132812" y="6534450"/>
              <a:ext cx="329514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𝑔/𝑐𝑚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53566</xdr:colOff>
      <xdr:row>45</xdr:row>
      <xdr:rowOff>22916</xdr:rowOff>
    </xdr:from>
    <xdr:ext cx="1417568" cy="2553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/>
            <xdr:cNvSpPr txBox="1"/>
          </xdr:nvSpPr>
          <xdr:spPr>
            <a:xfrm>
              <a:off x="586400" y="6916753"/>
              <a:ext cx="1417568" cy="2553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𝑤h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𝑇𝑟𝐶𝑜𝑠</m:t>
                        </m:r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sSub>
                          <m:sSubPr>
                            <m:ctrlPr>
                              <a:rPr lang="en-US" sz="8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8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800" b="0" i="1">
                                <a:latin typeface="Cambria Math" panose="02040503050406030204" pitchFamily="18" charset="0"/>
                              </a:rPr>
                              <m:t>𝑤h</m:t>
                            </m:r>
                          </m:sub>
                        </m:sSub>
                      </m:den>
                    </m:f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sSub>
                      <m:sSubPr>
                        <m:ctrlP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  <m:sSub>
                      <m:sSubPr>
                        <m:ctrlP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𝐿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𝑤h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2" name="TextBox 21"/>
            <xdr:cNvSpPr txBox="1"/>
          </xdr:nvSpPr>
          <xdr:spPr>
            <a:xfrm>
              <a:off x="586400" y="6916753"/>
              <a:ext cx="1417568" cy="2553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800" b="0" i="0">
                  <a:latin typeface="Cambria Math" panose="02040503050406030204" pitchFamily="18" charset="0"/>
                </a:rPr>
                <a:t>𝑓_𝑤ℎ=(𝑇𝑟𝐶𝑜𝑠(</a:t>
              </a:r>
              <a:r>
                <a:rPr lang="en-US" sz="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𝛼))/(</a:t>
              </a:r>
              <a:r>
                <a:rPr lang="en-US" sz="800" b="0" i="0">
                  <a:latin typeface="Cambria Math" panose="02040503050406030204" pitchFamily="18" charset="0"/>
                </a:rPr>
                <a:t>𝑛𝐿_𝑤ℎ )</a:t>
              </a:r>
              <a:r>
                <a:rPr lang="en-US" sz="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≤𝑅_𝑤→𝐿_𝑤ℎ≥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4</xdr:col>
      <xdr:colOff>355161</xdr:colOff>
      <xdr:row>45</xdr:row>
      <xdr:rowOff>86385</xdr:rowOff>
    </xdr:from>
    <xdr:ext cx="158120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2345037" y="6980222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𝑐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2345037" y="6980222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𝑐</a:t>
              </a:r>
              <a:r>
                <a:rPr lang="en-US" sz="800" b="0" i="0">
                  <a:latin typeface="Cambria Math" panose="02040503050406030204" pitchFamily="18" charset="0"/>
                </a:rPr>
                <a:t>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19050</xdr:colOff>
      <xdr:row>50</xdr:row>
      <xdr:rowOff>147270</xdr:rowOff>
    </xdr:from>
    <xdr:ext cx="1880194" cy="2825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/>
            <xdr:cNvSpPr txBox="1"/>
          </xdr:nvSpPr>
          <xdr:spPr>
            <a:xfrm>
              <a:off x="551884" y="6437542"/>
              <a:ext cx="1880194" cy="2825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𝜑</m:t>
                        </m:r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𝑤</m:t>
                            </m:r>
                          </m:sub>
                        </m:sSub>
                      </m:den>
                    </m:f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𝑚𝑖𝑛</m:t>
                    </m:r>
                    <m:d>
                      <m:dPr>
                        <m:begChr m:val="{"/>
                        <m:endChr m:val="}"/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eqArr>
                          <m:eqArrPr>
                            <m:ctrlP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eqArrPr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)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𝜑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𝐹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sub>
                            </m:sSub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𝑒</m:t>
                                </m:r>
                              </m:sub>
                            </m:sSub>
                          </m:e>
                          <m:e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)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𝜑</m:t>
                            </m:r>
                            <m:r>
                              <a:rPr lang="en-US" sz="9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𝐹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𝐵𝑀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9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𝐵𝑀</m:t>
                                </m:r>
                              </m:sub>
                            </m:sSub>
                          </m:e>
                        </m:eqArr>
                      </m:e>
                    </m:d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24" name="TextBox 23"/>
            <xdr:cNvSpPr txBox="1"/>
          </xdr:nvSpPr>
          <xdr:spPr>
            <a:xfrm>
              <a:off x="551884" y="6437542"/>
              <a:ext cx="1880194" cy="2825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𝑓_𝑤</a:t>
              </a:r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𝑅_𝑤=(𝜑𝑅_𝑛)/𝐿_𝑤 =𝑚𝑖𝑛{█(1)𝛽.𝜑.𝐹_𝑤.𝑡_𝑒@2)𝜑.𝐹_𝐵𝑀 𝑡_𝐵𝑀 )}</a:t>
              </a:r>
              <a:endParaRPr lang="en-US" sz="900"/>
            </a:p>
          </xdr:txBody>
        </xdr:sp>
      </mc:Fallback>
    </mc:AlternateContent>
    <xdr:clientData/>
  </xdr:oneCellAnchor>
  <xdr:twoCellAnchor>
    <xdr:from>
      <xdr:col>5</xdr:col>
      <xdr:colOff>241789</xdr:colOff>
      <xdr:row>51</xdr:row>
      <xdr:rowOff>146538</xdr:rowOff>
    </xdr:from>
    <xdr:to>
      <xdr:col>6</xdr:col>
      <xdr:colOff>561126</xdr:colOff>
      <xdr:row>52</xdr:row>
      <xdr:rowOff>0</xdr:rowOff>
    </xdr:to>
    <xdr:cxnSp macro="">
      <xdr:nvCxnSpPr>
        <xdr:cNvPr id="25" name="Straight Arrow Connector 24"/>
        <xdr:cNvCxnSpPr/>
      </xdr:nvCxnSpPr>
      <xdr:spPr>
        <a:xfrm>
          <a:off x="2604178" y="6587701"/>
          <a:ext cx="701280" cy="435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7</xdr:col>
      <xdr:colOff>26377</xdr:colOff>
      <xdr:row>51</xdr:row>
      <xdr:rowOff>81327</xdr:rowOff>
    </xdr:from>
    <xdr:ext cx="291810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/>
            <xdr:cNvSpPr txBox="1"/>
          </xdr:nvSpPr>
          <xdr:spPr>
            <a:xfrm>
              <a:off x="3416711" y="6522490"/>
              <a:ext cx="291810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26" name="TextBox 25"/>
            <xdr:cNvSpPr txBox="1"/>
          </xdr:nvSpPr>
          <xdr:spPr>
            <a:xfrm>
              <a:off x="3416711" y="6522490"/>
              <a:ext cx="291810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𝑅_𝑤=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8</xdr:col>
      <xdr:colOff>435980</xdr:colOff>
      <xdr:row>51</xdr:row>
      <xdr:rowOff>93287</xdr:rowOff>
    </xdr:from>
    <xdr:ext cx="329514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Box 26"/>
            <xdr:cNvSpPr txBox="1"/>
          </xdr:nvSpPr>
          <xdr:spPr>
            <a:xfrm>
              <a:off x="4132812" y="6534450"/>
              <a:ext cx="329514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𝑔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𝑐𝑚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7" name="TextBox 26"/>
            <xdr:cNvSpPr txBox="1"/>
          </xdr:nvSpPr>
          <xdr:spPr>
            <a:xfrm>
              <a:off x="4132812" y="6534450"/>
              <a:ext cx="329514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𝑘</a:t>
              </a:r>
              <a:r>
                <a:rPr lang="en-US" sz="800" b="0" i="0">
                  <a:latin typeface="Cambria Math" panose="02040503050406030204" pitchFamily="18" charset="0"/>
                </a:rPr>
                <a:t>𝑔/𝑐𝑚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53566</xdr:colOff>
      <xdr:row>54</xdr:row>
      <xdr:rowOff>22916</xdr:rowOff>
    </xdr:from>
    <xdr:ext cx="1392689" cy="2553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TextBox 27"/>
            <xdr:cNvSpPr txBox="1"/>
          </xdr:nvSpPr>
          <xdr:spPr>
            <a:xfrm>
              <a:off x="583586" y="8411061"/>
              <a:ext cx="1392689" cy="2553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𝑤𝑣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𝑇𝑟𝑠𝑖𝑛</m:t>
                        </m:r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sSub>
                          <m:sSubPr>
                            <m:ctrlPr>
                              <a:rPr lang="en-US" sz="8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8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en-US" sz="800" b="0" i="1">
                                <a:latin typeface="Cambria Math" panose="02040503050406030204" pitchFamily="18" charset="0"/>
                              </a:rPr>
                              <m:t>𝑤𝑣</m:t>
                            </m:r>
                          </m:sub>
                        </m:sSub>
                      </m:den>
                    </m:f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sSub>
                      <m:sSubPr>
                        <m:ctrlP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  <m:sSub>
                      <m:sSubPr>
                        <m:ctrlP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𝐿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𝑤𝑣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8" name="TextBox 27"/>
            <xdr:cNvSpPr txBox="1"/>
          </xdr:nvSpPr>
          <xdr:spPr>
            <a:xfrm>
              <a:off x="583586" y="8411061"/>
              <a:ext cx="1392689" cy="2553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b="0" i="0">
                  <a:latin typeface="Cambria Math" panose="02040503050406030204" pitchFamily="18" charset="0"/>
                </a:rPr>
                <a:t>𝑓_𝑤𝑣=(𝑇𝑟𝑠𝑖𝑛(</a:t>
              </a:r>
              <a:r>
                <a:rPr lang="en-US" sz="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𝛼))/(</a:t>
              </a:r>
              <a:r>
                <a:rPr lang="en-US" sz="800" b="0" i="0">
                  <a:latin typeface="Cambria Math" panose="02040503050406030204" pitchFamily="18" charset="0"/>
                </a:rPr>
                <a:t>𝑛𝐿_𝑤𝑣 )</a:t>
              </a:r>
              <a:r>
                <a:rPr lang="en-US" sz="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≤𝑅_𝑤→𝐿_𝑤𝑣≥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4</xdr:col>
      <xdr:colOff>355161</xdr:colOff>
      <xdr:row>54</xdr:row>
      <xdr:rowOff>86385</xdr:rowOff>
    </xdr:from>
    <xdr:ext cx="158120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TextBox 28"/>
            <xdr:cNvSpPr txBox="1"/>
          </xdr:nvSpPr>
          <xdr:spPr>
            <a:xfrm>
              <a:off x="2345037" y="6980222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𝑐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9" name="TextBox 28"/>
            <xdr:cNvSpPr txBox="1"/>
          </xdr:nvSpPr>
          <xdr:spPr>
            <a:xfrm>
              <a:off x="2345037" y="6980222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𝑐</a:t>
              </a:r>
              <a:r>
                <a:rPr lang="en-US" sz="800" b="0" i="0">
                  <a:latin typeface="Cambria Math" panose="02040503050406030204" pitchFamily="18" charset="0"/>
                </a:rPr>
                <a:t>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15364</xdr:colOff>
      <xdr:row>60</xdr:row>
      <xdr:rowOff>7682</xdr:rowOff>
    </xdr:from>
    <xdr:ext cx="281616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/>
            <xdr:cNvSpPr txBox="1"/>
          </xdr:nvSpPr>
          <xdr:spPr>
            <a:xfrm>
              <a:off x="990908" y="9317601"/>
              <a:ext cx="281616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𝐿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30" name="TextBox 29"/>
            <xdr:cNvSpPr txBox="1"/>
          </xdr:nvSpPr>
          <xdr:spPr>
            <a:xfrm>
              <a:off x="990908" y="9317601"/>
              <a:ext cx="281616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𝐿_𝑤=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341715</xdr:colOff>
      <xdr:row>14</xdr:row>
      <xdr:rowOff>14993</xdr:rowOff>
    </xdr:from>
    <xdr:ext cx="99835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TextBox 117"/>
            <xdr:cNvSpPr txBox="1"/>
          </xdr:nvSpPr>
          <xdr:spPr>
            <a:xfrm>
              <a:off x="874908" y="2147765"/>
              <a:ext cx="998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solidFill>
                          <a:srgbClr val="00B0F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18" name="TextBox 117"/>
            <xdr:cNvSpPr txBox="1"/>
          </xdr:nvSpPr>
          <xdr:spPr>
            <a:xfrm>
              <a:off x="874908" y="2147765"/>
              <a:ext cx="9983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solidFill>
                    <a:srgbClr val="00B0F0"/>
                  </a:solidFill>
                  <a:latin typeface="Cambria Math" panose="02040503050406030204" pitchFamily="18" charset="0"/>
                </a:rPr>
                <a:t>=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36267</xdr:colOff>
      <xdr:row>63</xdr:row>
      <xdr:rowOff>27689</xdr:rowOff>
    </xdr:from>
    <xdr:ext cx="399532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570439" y="9848736"/>
              <a:ext cx="399532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b="0" i="1">
                        <a:solidFill>
                          <a:srgbClr val="FF0000"/>
                        </a:solidFill>
                        <a:latin typeface="Cambria Math" panose="02040503050406030204" pitchFamily="18" charset="0"/>
                      </a:rPr>
                      <m:t>𝐹𝑖𝑙𝑙𝑒𝑟</m:t>
                    </m:r>
                    <m:r>
                      <a:rPr lang="en-US" sz="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→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570439" y="9848736"/>
              <a:ext cx="399532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b="0" i="0">
                  <a:solidFill>
                    <a:srgbClr val="FF0000"/>
                  </a:solidFill>
                  <a:latin typeface="Cambria Math" panose="02040503050406030204" pitchFamily="18" charset="0"/>
                </a:rPr>
                <a:t>𝐹𝑖𝑙𝑙𝑒𝑟</a:t>
              </a:r>
              <a:r>
                <a:rPr lang="en-US" sz="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→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9</xdr:col>
      <xdr:colOff>39220</xdr:colOff>
      <xdr:row>7</xdr:row>
      <xdr:rowOff>137389</xdr:rowOff>
    </xdr:from>
    <xdr:to>
      <xdr:col>17</xdr:col>
      <xdr:colOff>295</xdr:colOff>
      <xdr:row>27</xdr:row>
      <xdr:rowOff>90800</xdr:rowOff>
    </xdr:to>
    <xdr:grpSp>
      <xdr:nvGrpSpPr>
        <xdr:cNvPr id="10" name="Group 9"/>
        <xdr:cNvGrpSpPr/>
      </xdr:nvGrpSpPr>
      <xdr:grpSpPr>
        <a:xfrm>
          <a:off x="4208837" y="1255119"/>
          <a:ext cx="2925489" cy="3102492"/>
          <a:chOff x="4222984" y="1234138"/>
          <a:chExt cx="2886760" cy="3154640"/>
        </a:xfrm>
      </xdr:grpSpPr>
      <xdr:grpSp>
        <xdr:nvGrpSpPr>
          <xdr:cNvPr id="31" name="Group 30"/>
          <xdr:cNvGrpSpPr/>
        </xdr:nvGrpSpPr>
        <xdr:grpSpPr>
          <a:xfrm>
            <a:off x="4436448" y="1234138"/>
            <a:ext cx="2540882" cy="3154640"/>
            <a:chOff x="4459262" y="665211"/>
            <a:chExt cx="3132155" cy="3896626"/>
          </a:xfrm>
        </xdr:grpSpPr>
        <xdr:grpSp>
          <xdr:nvGrpSpPr>
            <xdr:cNvPr id="32" name="Group 31"/>
            <xdr:cNvGrpSpPr/>
          </xdr:nvGrpSpPr>
          <xdr:grpSpPr>
            <a:xfrm>
              <a:off x="4460708" y="665211"/>
              <a:ext cx="3130709" cy="3896626"/>
              <a:chOff x="4431437" y="651762"/>
              <a:chExt cx="3114014" cy="3806439"/>
            </a:xfrm>
          </xdr:grpSpPr>
          <xdr:grpSp>
            <xdr:nvGrpSpPr>
              <xdr:cNvPr id="38" name="Group 37"/>
              <xdr:cNvGrpSpPr/>
            </xdr:nvGrpSpPr>
            <xdr:grpSpPr>
              <a:xfrm>
                <a:off x="4431437" y="651762"/>
                <a:ext cx="3114014" cy="3806439"/>
                <a:chOff x="4442094" y="653015"/>
                <a:chExt cx="3123419" cy="3810620"/>
              </a:xfrm>
            </xdr:grpSpPr>
            <xdr:grpSp>
              <xdr:nvGrpSpPr>
                <xdr:cNvPr id="44" name="Group 43"/>
                <xdr:cNvGrpSpPr/>
              </xdr:nvGrpSpPr>
              <xdr:grpSpPr>
                <a:xfrm>
                  <a:off x="4442094" y="653015"/>
                  <a:ext cx="3123419" cy="3810620"/>
                  <a:chOff x="4481264" y="645269"/>
                  <a:chExt cx="3133747" cy="3762901"/>
                </a:xfrm>
              </xdr:grpSpPr>
              <xdr:cxnSp macro="">
                <xdr:nvCxnSpPr>
                  <xdr:cNvPr id="51" name="Straight Connector 50"/>
                  <xdr:cNvCxnSpPr/>
                </xdr:nvCxnSpPr>
                <xdr:spPr>
                  <a:xfrm flipV="1">
                    <a:off x="5330060" y="1098461"/>
                    <a:ext cx="1671452" cy="2463634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  <a:prstDash val="dashDot"/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2" name="Straight Connector 51"/>
                  <xdr:cNvCxnSpPr/>
                </xdr:nvCxnSpPr>
                <xdr:spPr>
                  <a:xfrm flipV="1">
                    <a:off x="6147012" y="1177287"/>
                    <a:ext cx="1019267" cy="1535253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3" name="Straight Connector 52"/>
                  <xdr:cNvCxnSpPr/>
                </xdr:nvCxnSpPr>
                <xdr:spPr>
                  <a:xfrm flipV="1">
                    <a:off x="5799065" y="951409"/>
                    <a:ext cx="1017847" cy="1517072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4" name="Straight Connector 53"/>
                  <xdr:cNvCxnSpPr/>
                </xdr:nvCxnSpPr>
                <xdr:spPr>
                  <a:xfrm>
                    <a:off x="5801639" y="2463333"/>
                    <a:ext cx="347948" cy="251780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5" name="Straight Connector 54"/>
                  <xdr:cNvCxnSpPr/>
                </xdr:nvCxnSpPr>
                <xdr:spPr>
                  <a:xfrm flipV="1">
                    <a:off x="5819528" y="963809"/>
                    <a:ext cx="1012929" cy="1507905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  <a:prstDash val="sysDash"/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6" name="Straight Connector 55"/>
                  <xdr:cNvCxnSpPr/>
                </xdr:nvCxnSpPr>
                <xdr:spPr>
                  <a:xfrm flipV="1">
                    <a:off x="6126670" y="1163350"/>
                    <a:ext cx="1022746" cy="1540836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  <a:prstDash val="sysDash"/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7" name="Straight Connector 56"/>
                  <xdr:cNvCxnSpPr/>
                </xdr:nvCxnSpPr>
                <xdr:spPr>
                  <a:xfrm>
                    <a:off x="5528844" y="1822570"/>
                    <a:ext cx="699136" cy="0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8" name="Straight Connector 57"/>
                  <xdr:cNvCxnSpPr/>
                </xdr:nvCxnSpPr>
                <xdr:spPr>
                  <a:xfrm>
                    <a:off x="6604981" y="2062994"/>
                    <a:ext cx="8237" cy="1222867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9" name="Straight Connector 58"/>
                  <xdr:cNvCxnSpPr/>
                </xdr:nvCxnSpPr>
                <xdr:spPr>
                  <a:xfrm>
                    <a:off x="6224907" y="1822570"/>
                    <a:ext cx="379588" cy="252411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  <a:prstDash val="sysDash"/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0" name="Straight Connector 59"/>
                  <xdr:cNvCxnSpPr/>
                </xdr:nvCxnSpPr>
                <xdr:spPr>
                  <a:xfrm>
                    <a:off x="6698288" y="868363"/>
                    <a:ext cx="264277" cy="183367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1" name="Straight Connector 60"/>
                  <xdr:cNvCxnSpPr/>
                </xdr:nvCxnSpPr>
                <xdr:spPr>
                  <a:xfrm flipH="1">
                    <a:off x="6910261" y="1048977"/>
                    <a:ext cx="49552" cy="87017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2" name="Straight Connector 61"/>
                  <xdr:cNvCxnSpPr/>
                </xdr:nvCxnSpPr>
                <xdr:spPr>
                  <a:xfrm flipV="1">
                    <a:off x="6913014" y="1028574"/>
                    <a:ext cx="181250" cy="104667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3" name="Straight Connector 62"/>
                  <xdr:cNvCxnSpPr/>
                </xdr:nvCxnSpPr>
                <xdr:spPr>
                  <a:xfrm flipH="1">
                    <a:off x="7080657" y="1026954"/>
                    <a:ext cx="14048" cy="92491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4" name="Straight Connector 63"/>
                  <xdr:cNvCxnSpPr/>
                </xdr:nvCxnSpPr>
                <xdr:spPr>
                  <a:xfrm>
                    <a:off x="7078187" y="1117800"/>
                    <a:ext cx="224946" cy="158591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5" name="Straight Connector 64"/>
                  <xdr:cNvCxnSpPr/>
                </xdr:nvCxnSpPr>
                <xdr:spPr>
                  <a:xfrm flipH="1">
                    <a:off x="6496347" y="1226629"/>
                    <a:ext cx="86898" cy="126173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6" name="Straight Connector 65"/>
                  <xdr:cNvCxnSpPr/>
                </xdr:nvCxnSpPr>
                <xdr:spPr>
                  <a:xfrm>
                    <a:off x="6496347" y="1352802"/>
                    <a:ext cx="455775" cy="286033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7" name="Straight Connector 66"/>
                  <xdr:cNvCxnSpPr/>
                </xdr:nvCxnSpPr>
                <xdr:spPr>
                  <a:xfrm>
                    <a:off x="6579914" y="1226629"/>
                    <a:ext cx="459598" cy="292311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8" name="Straight Connector 67"/>
                  <xdr:cNvCxnSpPr/>
                </xdr:nvCxnSpPr>
                <xdr:spPr>
                  <a:xfrm flipH="1">
                    <a:off x="6952122" y="1514811"/>
                    <a:ext cx="83262" cy="124024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69" name="Straight Connector 68"/>
                  <xdr:cNvCxnSpPr/>
                </xdr:nvCxnSpPr>
                <xdr:spPr>
                  <a:xfrm flipH="1">
                    <a:off x="6151670" y="2062944"/>
                    <a:ext cx="443859" cy="664906"/>
                  </a:xfrm>
                  <a:prstGeom prst="line">
                    <a:avLst/>
                  </a:prstGeom>
                  <a:ln w="28575"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70" name="Straight Connector 69"/>
                  <xdr:cNvCxnSpPr/>
                </xdr:nvCxnSpPr>
                <xdr:spPr>
                  <a:xfrm flipH="1">
                    <a:off x="5789225" y="1829448"/>
                    <a:ext cx="423892" cy="630853"/>
                  </a:xfrm>
                  <a:prstGeom prst="line">
                    <a:avLst/>
                  </a:prstGeom>
                  <a:ln w="28575"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grpSp>
                <xdr:nvGrpSpPr>
                  <xdr:cNvPr id="71" name="Group 70"/>
                  <xdr:cNvGrpSpPr/>
                </xdr:nvGrpSpPr>
                <xdr:grpSpPr>
                  <a:xfrm>
                    <a:off x="6384506" y="1945804"/>
                    <a:ext cx="1128366" cy="447695"/>
                    <a:chOff x="6339181" y="1982936"/>
                    <a:chExt cx="1121030" cy="455122"/>
                  </a:xfrm>
                </xdr:grpSpPr>
                <xdr:cxnSp macro="">
                  <xdr:nvCxnSpPr>
                    <xdr:cNvPr id="112" name="Straight Arrow Connector 111"/>
                    <xdr:cNvCxnSpPr/>
                  </xdr:nvCxnSpPr>
                  <xdr:spPr>
                    <a:xfrm flipH="1">
                      <a:off x="6339181" y="2042943"/>
                      <a:ext cx="421578" cy="395115"/>
                    </a:xfrm>
                    <a:prstGeom prst="straightConnector1">
                      <a:avLst/>
                    </a:prstGeom>
                    <a:ln>
                      <a:solidFill>
                        <a:schemeClr val="tx1"/>
                      </a:solidFill>
                      <a:headEnd type="none" w="med" len="med"/>
                      <a:tailEnd type="triangle" w="med" len="med"/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13" name="Straight Connector 112"/>
                    <xdr:cNvCxnSpPr/>
                  </xdr:nvCxnSpPr>
                  <xdr:spPr>
                    <a:xfrm flipV="1">
                      <a:off x="6752780" y="2042777"/>
                      <a:ext cx="633573" cy="2796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14" name="Straight Connector 113"/>
                    <xdr:cNvCxnSpPr/>
                  </xdr:nvCxnSpPr>
                  <xdr:spPr>
                    <a:xfrm flipV="1">
                      <a:off x="7378545" y="1982936"/>
                      <a:ext cx="72064" cy="61943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15" name="Straight Connector 114"/>
                    <xdr:cNvCxnSpPr/>
                  </xdr:nvCxnSpPr>
                  <xdr:spPr>
                    <a:xfrm>
                      <a:off x="7381678" y="2042468"/>
                      <a:ext cx="78533" cy="55724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</xdr:grpSp>
              <xdr:grpSp>
                <xdr:nvGrpSpPr>
                  <xdr:cNvPr id="72" name="Group 71"/>
                  <xdr:cNvGrpSpPr/>
                </xdr:nvGrpSpPr>
                <xdr:grpSpPr>
                  <a:xfrm flipH="1">
                    <a:off x="4481264" y="2148909"/>
                    <a:ext cx="1072548" cy="390723"/>
                    <a:chOff x="6369972" y="1982936"/>
                    <a:chExt cx="1080637" cy="406943"/>
                  </a:xfrm>
                </xdr:grpSpPr>
                <xdr:cxnSp macro="">
                  <xdr:nvCxnSpPr>
                    <xdr:cNvPr id="109" name="Straight Arrow Connector 108"/>
                    <xdr:cNvCxnSpPr/>
                  </xdr:nvCxnSpPr>
                  <xdr:spPr>
                    <a:xfrm flipH="1">
                      <a:off x="6369972" y="2044317"/>
                      <a:ext cx="341362" cy="345562"/>
                    </a:xfrm>
                    <a:prstGeom prst="straightConnector1">
                      <a:avLst/>
                    </a:prstGeom>
                    <a:ln>
                      <a:solidFill>
                        <a:schemeClr val="tx1"/>
                      </a:solidFill>
                      <a:headEnd type="none" w="med" len="med"/>
                      <a:tailEnd type="triangle" w="med" len="med"/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10" name="Straight Connector 109"/>
                    <xdr:cNvCxnSpPr/>
                  </xdr:nvCxnSpPr>
                  <xdr:spPr>
                    <a:xfrm flipV="1">
                      <a:off x="6712570" y="2042777"/>
                      <a:ext cx="673781" cy="562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11" name="Straight Connector 110"/>
                    <xdr:cNvCxnSpPr/>
                  </xdr:nvCxnSpPr>
                  <xdr:spPr>
                    <a:xfrm flipV="1">
                      <a:off x="7378545" y="1982936"/>
                      <a:ext cx="72064" cy="61943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73" name="Straight Connector 72"/>
                  <xdr:cNvCxnSpPr/>
                </xdr:nvCxnSpPr>
                <xdr:spPr>
                  <a:xfrm flipH="1">
                    <a:off x="5542264" y="1825674"/>
                    <a:ext cx="1" cy="1444386"/>
                  </a:xfrm>
                  <a:prstGeom prst="line">
                    <a:avLst/>
                  </a:prstGeom>
                  <a:ln w="28575"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grpSp>
                <xdr:nvGrpSpPr>
                  <xdr:cNvPr id="74" name="Group 73"/>
                  <xdr:cNvGrpSpPr/>
                </xdr:nvGrpSpPr>
                <xdr:grpSpPr>
                  <a:xfrm>
                    <a:off x="6218938" y="2862605"/>
                    <a:ext cx="1060466" cy="403385"/>
                    <a:chOff x="6397536" y="1982936"/>
                    <a:chExt cx="1053073" cy="411249"/>
                  </a:xfrm>
                </xdr:grpSpPr>
                <xdr:cxnSp macro="">
                  <xdr:nvCxnSpPr>
                    <xdr:cNvPr id="105" name="Straight Arrow Connector 104"/>
                    <xdr:cNvCxnSpPr/>
                  </xdr:nvCxnSpPr>
                  <xdr:spPr>
                    <a:xfrm flipH="1">
                      <a:off x="6397536" y="2046680"/>
                      <a:ext cx="359830" cy="347505"/>
                    </a:xfrm>
                    <a:prstGeom prst="straightConnector1">
                      <a:avLst/>
                    </a:prstGeom>
                    <a:ln>
                      <a:solidFill>
                        <a:schemeClr val="tx1"/>
                      </a:solidFill>
                      <a:headEnd type="none" w="med" len="med"/>
                      <a:tailEnd type="triangle" w="med" len="med"/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06" name="Straight Connector 105"/>
                    <xdr:cNvCxnSpPr/>
                  </xdr:nvCxnSpPr>
                  <xdr:spPr>
                    <a:xfrm flipV="1">
                      <a:off x="6749559" y="2042776"/>
                      <a:ext cx="636793" cy="3904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07" name="Straight Connector 106"/>
                    <xdr:cNvCxnSpPr/>
                  </xdr:nvCxnSpPr>
                  <xdr:spPr>
                    <a:xfrm flipV="1">
                      <a:off x="7378545" y="1982936"/>
                      <a:ext cx="72064" cy="61943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08" name="Straight Connector 107"/>
                    <xdr:cNvCxnSpPr/>
                  </xdr:nvCxnSpPr>
                  <xdr:spPr>
                    <a:xfrm>
                      <a:off x="7381678" y="2042468"/>
                      <a:ext cx="62665" cy="55105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75" name="Straight Connector 74"/>
                  <xdr:cNvCxnSpPr/>
                </xdr:nvCxnSpPr>
                <xdr:spPr>
                  <a:xfrm flipV="1">
                    <a:off x="5537971" y="3261900"/>
                    <a:ext cx="1073138" cy="8160"/>
                  </a:xfrm>
                  <a:prstGeom prst="line">
                    <a:avLst/>
                  </a:prstGeom>
                  <a:ln w="28575"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grpSp>
                <xdr:nvGrpSpPr>
                  <xdr:cNvPr id="76" name="Group 75"/>
                  <xdr:cNvGrpSpPr/>
                </xdr:nvGrpSpPr>
                <xdr:grpSpPr>
                  <a:xfrm flipH="1">
                    <a:off x="5691492" y="995334"/>
                    <a:ext cx="908003" cy="333605"/>
                    <a:chOff x="6520545" y="2051385"/>
                    <a:chExt cx="913880" cy="353782"/>
                  </a:xfrm>
                </xdr:grpSpPr>
                <xdr:cxnSp macro="">
                  <xdr:nvCxnSpPr>
                    <xdr:cNvPr id="102" name="Straight Arrow Connector 101"/>
                    <xdr:cNvCxnSpPr/>
                  </xdr:nvCxnSpPr>
                  <xdr:spPr>
                    <a:xfrm flipH="1">
                      <a:off x="6520545" y="2052138"/>
                      <a:ext cx="340542" cy="353029"/>
                    </a:xfrm>
                    <a:prstGeom prst="straightConnector1">
                      <a:avLst/>
                    </a:prstGeom>
                    <a:ln>
                      <a:solidFill>
                        <a:schemeClr val="tx1"/>
                      </a:solidFill>
                      <a:headEnd type="none" w="med" len="med"/>
                      <a:tailEnd type="triangle" w="med" len="med"/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03" name="Straight Connector 102"/>
                    <xdr:cNvCxnSpPr/>
                  </xdr:nvCxnSpPr>
                  <xdr:spPr>
                    <a:xfrm flipV="1">
                      <a:off x="6861087" y="2051385"/>
                      <a:ext cx="505739" cy="3941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04" name="Straight Connector 103"/>
                    <xdr:cNvCxnSpPr/>
                  </xdr:nvCxnSpPr>
                  <xdr:spPr>
                    <a:xfrm>
                      <a:off x="7363537" y="2051757"/>
                      <a:ext cx="70888" cy="65020"/>
                    </a:xfrm>
                    <a:prstGeom prst="line">
                      <a:avLst/>
                    </a:prstGeom>
                    <a:ln>
                      <a:solidFill>
                        <a:schemeClr val="tx1"/>
                      </a:solidFill>
                    </a:ln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</xdr:grpSp>
              <xdr:cxnSp macro="">
                <xdr:nvCxnSpPr>
                  <xdr:cNvPr id="77" name="Straight Connector 76"/>
                  <xdr:cNvCxnSpPr/>
                </xdr:nvCxnSpPr>
                <xdr:spPr>
                  <a:xfrm flipH="1">
                    <a:off x="5525518" y="712089"/>
                    <a:ext cx="3014" cy="3512975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78" name="Straight Connector 77"/>
                  <xdr:cNvCxnSpPr/>
                </xdr:nvCxnSpPr>
                <xdr:spPr>
                  <a:xfrm flipH="1">
                    <a:off x="5509121" y="710763"/>
                    <a:ext cx="3014" cy="3512975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79" name="Straight Connector 78"/>
                  <xdr:cNvCxnSpPr/>
                </xdr:nvCxnSpPr>
                <xdr:spPr>
                  <a:xfrm flipH="1">
                    <a:off x="5140170" y="713777"/>
                    <a:ext cx="3014" cy="3512975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0" name="Straight Connector 79"/>
                  <xdr:cNvCxnSpPr/>
                </xdr:nvCxnSpPr>
                <xdr:spPr>
                  <a:xfrm flipH="1">
                    <a:off x="5119479" y="721324"/>
                    <a:ext cx="1240" cy="3498108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1" name="Straight Connector 80"/>
                  <xdr:cNvCxnSpPr/>
                </xdr:nvCxnSpPr>
                <xdr:spPr>
                  <a:xfrm>
                    <a:off x="5334408" y="730174"/>
                    <a:ext cx="3015" cy="3677996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  <a:prstDash val="dashDot"/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2" name="Straight Connector 81"/>
                  <xdr:cNvCxnSpPr/>
                </xdr:nvCxnSpPr>
                <xdr:spPr>
                  <a:xfrm>
                    <a:off x="5171640" y="3561966"/>
                    <a:ext cx="2443371" cy="0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  <a:prstDash val="dashDot"/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3" name="Straight Connector 82"/>
                  <xdr:cNvCxnSpPr/>
                </xdr:nvCxnSpPr>
                <xdr:spPr>
                  <a:xfrm flipH="1">
                    <a:off x="5525519" y="3321589"/>
                    <a:ext cx="1818210" cy="6028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4" name="Straight Connector 83"/>
                  <xdr:cNvCxnSpPr/>
                </xdr:nvCxnSpPr>
                <xdr:spPr>
                  <a:xfrm flipH="1" flipV="1">
                    <a:off x="5527209" y="3281077"/>
                    <a:ext cx="1807478" cy="1327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5" name="Straight Connector 84"/>
                  <xdr:cNvCxnSpPr/>
                </xdr:nvCxnSpPr>
                <xdr:spPr>
                  <a:xfrm flipH="1">
                    <a:off x="5524194" y="3815326"/>
                    <a:ext cx="1818209" cy="6028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6" name="Straight Connector 85"/>
                  <xdr:cNvCxnSpPr/>
                </xdr:nvCxnSpPr>
                <xdr:spPr>
                  <a:xfrm flipH="1">
                    <a:off x="5525882" y="3777467"/>
                    <a:ext cx="1820862" cy="6390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7" name="Straight Connector 86"/>
                  <xdr:cNvCxnSpPr/>
                </xdr:nvCxnSpPr>
                <xdr:spPr>
                  <a:xfrm>
                    <a:off x="7340715" y="3210062"/>
                    <a:ext cx="0" cy="270520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8" name="Straight Connector 87"/>
                  <xdr:cNvCxnSpPr/>
                </xdr:nvCxnSpPr>
                <xdr:spPr>
                  <a:xfrm>
                    <a:off x="7337701" y="3474553"/>
                    <a:ext cx="90427" cy="42200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89" name="Straight Connector 88"/>
                  <xdr:cNvCxnSpPr/>
                </xdr:nvCxnSpPr>
                <xdr:spPr>
                  <a:xfrm flipH="1">
                    <a:off x="7250288" y="3516753"/>
                    <a:ext cx="177840" cy="101722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0" name="Straight Connector 89"/>
                  <xdr:cNvCxnSpPr/>
                </xdr:nvCxnSpPr>
                <xdr:spPr>
                  <a:xfrm>
                    <a:off x="7256316" y="3618475"/>
                    <a:ext cx="84399" cy="57271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1" name="Straight Connector 90"/>
                  <xdr:cNvCxnSpPr/>
                </xdr:nvCxnSpPr>
                <xdr:spPr>
                  <a:xfrm>
                    <a:off x="7343729" y="3675746"/>
                    <a:ext cx="0" cy="254685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2" name="Straight Connector 91"/>
                  <xdr:cNvCxnSpPr/>
                </xdr:nvCxnSpPr>
                <xdr:spPr>
                  <a:xfrm>
                    <a:off x="5025658" y="4224317"/>
                    <a:ext cx="246816" cy="0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3" name="Straight Connector 92"/>
                  <xdr:cNvCxnSpPr/>
                </xdr:nvCxnSpPr>
                <xdr:spPr>
                  <a:xfrm flipV="1">
                    <a:off x="5272474" y="4161745"/>
                    <a:ext cx="38239" cy="62572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4" name="Straight Connector 93"/>
                  <xdr:cNvCxnSpPr/>
                </xdr:nvCxnSpPr>
                <xdr:spPr>
                  <a:xfrm>
                    <a:off x="5310713" y="4165220"/>
                    <a:ext cx="53423" cy="114717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5" name="Straight Connector 94"/>
                  <xdr:cNvCxnSpPr/>
                </xdr:nvCxnSpPr>
                <xdr:spPr>
                  <a:xfrm flipV="1">
                    <a:off x="5360660" y="4224317"/>
                    <a:ext cx="41715" cy="62574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6" name="Straight Connector 95"/>
                  <xdr:cNvCxnSpPr/>
                </xdr:nvCxnSpPr>
                <xdr:spPr>
                  <a:xfrm>
                    <a:off x="5398898" y="4220840"/>
                    <a:ext cx="239863" cy="0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7" name="Straight Connector 96"/>
                  <xdr:cNvCxnSpPr/>
                </xdr:nvCxnSpPr>
                <xdr:spPr>
                  <a:xfrm>
                    <a:off x="5032611" y="714794"/>
                    <a:ext cx="253768" cy="1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8" name="Straight Connector 97"/>
                  <xdr:cNvCxnSpPr/>
                </xdr:nvCxnSpPr>
                <xdr:spPr>
                  <a:xfrm flipV="1">
                    <a:off x="5286379" y="645269"/>
                    <a:ext cx="41715" cy="73002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99" name="Straight Connector 98"/>
                  <xdr:cNvCxnSpPr/>
                </xdr:nvCxnSpPr>
                <xdr:spPr>
                  <a:xfrm>
                    <a:off x="5328094" y="645269"/>
                    <a:ext cx="46471" cy="116595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100" name="Straight Connector 99"/>
                  <xdr:cNvCxnSpPr/>
                </xdr:nvCxnSpPr>
                <xdr:spPr>
                  <a:xfrm flipV="1">
                    <a:off x="5378041" y="704365"/>
                    <a:ext cx="45192" cy="50547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101" name="Straight Connector 100"/>
                  <xdr:cNvCxnSpPr/>
                </xdr:nvCxnSpPr>
                <xdr:spPr>
                  <a:xfrm>
                    <a:off x="5416280" y="704365"/>
                    <a:ext cx="229434" cy="3477"/>
                  </a:xfrm>
                  <a:prstGeom prst="line">
                    <a:avLst/>
                  </a:prstGeom>
                  <a:ln>
                    <a:solidFill>
                      <a:schemeClr val="tx1"/>
                    </a:solidFill>
                  </a:ln>
                </xdr:spPr>
                <xdr:style>
                  <a:lnRef idx="1">
                    <a:schemeClr val="dk1"/>
                  </a:lnRef>
                  <a:fillRef idx="0">
                    <a:schemeClr val="dk1"/>
                  </a:fillRef>
                  <a:effectRef idx="0">
                    <a:schemeClr val="dk1"/>
                  </a:effectRef>
                  <a:fontRef idx="minor">
                    <a:schemeClr val="tx1"/>
                  </a:fontRef>
                </xdr:style>
              </xdr:cxnSp>
            </xdr:grpSp>
            <xdr:cxnSp macro="">
              <xdr:nvCxnSpPr>
                <xdr:cNvPr id="45" name="Straight Connector 44"/>
                <xdr:cNvCxnSpPr/>
              </xdr:nvCxnSpPr>
              <xdr:spPr>
                <a:xfrm>
                  <a:off x="4752937" y="2191135"/>
                  <a:ext cx="57791" cy="43700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6" name="Straight Connector 45"/>
                <xdr:cNvCxnSpPr/>
              </xdr:nvCxnSpPr>
              <xdr:spPr>
                <a:xfrm flipV="1">
                  <a:off x="4756210" y="2240275"/>
                  <a:ext cx="53515" cy="34715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47" name="Isosceles Triangle 46"/>
                <xdr:cNvSpPr/>
              </xdr:nvSpPr>
              <xdr:spPr>
                <a:xfrm rot="5400000">
                  <a:off x="6824652" y="2925971"/>
                  <a:ext cx="100371" cy="71495"/>
                </a:xfrm>
                <a:prstGeom prst="triangle">
                  <a:avLst/>
                </a:prstGeom>
                <a:ln>
                  <a:noFill/>
                </a:ln>
                <a:effectLst/>
                <a:scene3d>
                  <a:camera prst="orthographicFront">
                    <a:rot lat="0" lon="0" rev="0"/>
                  </a:camera>
                  <a:lightRig rig="chilly" dir="t">
                    <a:rot lat="0" lon="0" rev="18480000"/>
                  </a:lightRig>
                </a:scene3d>
                <a:sp3d prstMaterial="clear">
                  <a:bevelT h="63500"/>
                </a:sp3d>
              </xdr:spPr>
              <xdr:style>
                <a:lnRef idx="0">
                  <a:schemeClr val="dk1"/>
                </a:lnRef>
                <a:fillRef idx="3">
                  <a:schemeClr val="dk1"/>
                </a:fillRef>
                <a:effectRef idx="3">
                  <a:schemeClr val="dk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48" name="Isosceles Triangle 47"/>
                <xdr:cNvSpPr/>
              </xdr:nvSpPr>
              <xdr:spPr>
                <a:xfrm rot="5400000">
                  <a:off x="4741537" y="2200052"/>
                  <a:ext cx="97879" cy="71495"/>
                </a:xfrm>
                <a:prstGeom prst="triangle">
                  <a:avLst/>
                </a:prstGeom>
                <a:ln>
                  <a:noFill/>
                </a:ln>
                <a:effectLst/>
                <a:scene3d>
                  <a:camera prst="orthographicFront">
                    <a:rot lat="0" lon="0" rev="0"/>
                  </a:camera>
                  <a:lightRig rig="chilly" dir="t">
                    <a:rot lat="0" lon="0" rev="18480000"/>
                  </a:lightRig>
                </a:scene3d>
                <a:sp3d prstMaterial="clear">
                  <a:bevelT h="63500"/>
                </a:sp3d>
              </xdr:spPr>
              <xdr:style>
                <a:lnRef idx="0">
                  <a:schemeClr val="dk1"/>
                </a:lnRef>
                <a:fillRef idx="3">
                  <a:schemeClr val="dk1"/>
                </a:fillRef>
                <a:effectRef idx="3">
                  <a:schemeClr val="dk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49" name="Isosceles Triangle 48"/>
                <xdr:cNvSpPr/>
              </xdr:nvSpPr>
              <xdr:spPr>
                <a:xfrm rot="5400000">
                  <a:off x="5948846" y="975353"/>
                  <a:ext cx="100371" cy="71494"/>
                </a:xfrm>
                <a:prstGeom prst="triangle">
                  <a:avLst/>
                </a:prstGeom>
                <a:ln>
                  <a:noFill/>
                </a:ln>
                <a:effectLst/>
                <a:scene3d>
                  <a:camera prst="orthographicFront">
                    <a:rot lat="0" lon="0" rev="0"/>
                  </a:camera>
                  <a:lightRig rig="chilly" dir="t">
                    <a:rot lat="0" lon="0" rev="18480000"/>
                  </a:lightRig>
                </a:scene3d>
                <a:sp3d prstMaterial="clear">
                  <a:bevelT h="63500"/>
                </a:sp3d>
              </xdr:spPr>
              <xdr:style>
                <a:lnRef idx="0">
                  <a:schemeClr val="dk1"/>
                </a:lnRef>
                <a:fillRef idx="3">
                  <a:schemeClr val="dk1"/>
                </a:fillRef>
                <a:effectRef idx="3">
                  <a:schemeClr val="dk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50" name="Isosceles Triangle 49"/>
                <xdr:cNvSpPr/>
              </xdr:nvSpPr>
              <xdr:spPr>
                <a:xfrm rot="5400000">
                  <a:off x="7082567" y="1997085"/>
                  <a:ext cx="97879" cy="71494"/>
                </a:xfrm>
                <a:prstGeom prst="triangle">
                  <a:avLst/>
                </a:prstGeom>
                <a:ln>
                  <a:noFill/>
                </a:ln>
                <a:effectLst/>
                <a:scene3d>
                  <a:camera prst="orthographicFront">
                    <a:rot lat="0" lon="0" rev="0"/>
                  </a:camera>
                  <a:lightRig rig="chilly" dir="t">
                    <a:rot lat="0" lon="0" rev="18480000"/>
                  </a:lightRig>
                </a:scene3d>
                <a:sp3d prstMaterial="clear">
                  <a:bevelT h="63500"/>
                </a:sp3d>
              </xdr:spPr>
              <xdr:style>
                <a:lnRef idx="0">
                  <a:schemeClr val="dk1"/>
                </a:lnRef>
                <a:fillRef idx="3">
                  <a:schemeClr val="dk1"/>
                </a:fillRef>
                <a:effectRef idx="3">
                  <a:schemeClr val="dk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</xdr:grpSp>
          <xdr:sp macro="" textlink="">
            <xdr:nvSpPr>
              <xdr:cNvPr id="39" name="TextBox 38"/>
              <xdr:cNvSpPr txBox="1"/>
            </xdr:nvSpPr>
            <xdr:spPr>
              <a:xfrm>
                <a:off x="5941318" y="3456208"/>
                <a:ext cx="610424" cy="31149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400" b="1" cap="none" spc="0">
                    <a:ln w="1905"/>
                    <a:gradFill>
                      <a:gsLst>
                        <a:gs pos="0">
                          <a:schemeClr val="accent6">
                            <a:shade val="20000"/>
                            <a:satMod val="200000"/>
                          </a:schemeClr>
                        </a:gs>
                        <a:gs pos="78000">
                          <a:schemeClr val="accent6">
                            <a:tint val="90000"/>
                            <a:shade val="89000"/>
                            <a:satMod val="220000"/>
                          </a:schemeClr>
                        </a:gs>
                        <a:gs pos="100000">
                          <a:schemeClr val="accent6">
                            <a:tint val="12000"/>
                            <a:satMod val="255000"/>
                          </a:schemeClr>
                        </a:gs>
                      </a:gsLst>
                      <a:lin ang="5400000"/>
                    </a:gradFill>
                    <a:effectLst>
                      <a:innerShdw blurRad="69850" dist="43180" dir="5400000">
                        <a:srgbClr val="000000">
                          <a:alpha val="65000"/>
                        </a:srgbClr>
                      </a:innerShdw>
                    </a:effectLst>
                    <a:latin typeface="+mn-lt"/>
                    <a:ea typeface="+mn-ea"/>
                    <a:cs typeface="+mn-cs"/>
                  </a:rPr>
                  <a:t>Beam</a:t>
                </a:r>
              </a:p>
            </xdr:txBody>
          </xdr:sp>
          <xdr:sp macro="" textlink="">
            <xdr:nvSpPr>
              <xdr:cNvPr id="40" name="TextBox 39"/>
              <xdr:cNvSpPr txBox="1"/>
            </xdr:nvSpPr>
            <xdr:spPr>
              <a:xfrm rot="5400000">
                <a:off x="4738330" y="2832407"/>
                <a:ext cx="1053947" cy="38059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  <a:scene3d>
                  <a:camera prst="orthographicFront"/>
                  <a:lightRig rig="soft" dir="tl">
                    <a:rot lat="0" lon="0" rev="0"/>
                  </a:lightRig>
                </a:scene3d>
                <a:sp3d extrusionH="57150" contourW="25400" prstMaterial="matte">
                  <a:bevelT w="25400" h="55880" prst="slope"/>
                  <a:contourClr>
                    <a:schemeClr val="accent2">
                      <a:tint val="20000"/>
                    </a:schemeClr>
                  </a:contourClr>
                </a:sp3d>
              </a:bodyPr>
              <a:lstStyle/>
              <a:p>
                <a:r>
                  <a:rPr lang="en-US" sz="1400" b="1" cap="none" spc="0">
                    <a:ln w="1905"/>
                    <a:gradFill>
                      <a:gsLst>
                        <a:gs pos="0">
                          <a:schemeClr val="accent6">
                            <a:shade val="20000"/>
                            <a:satMod val="200000"/>
                          </a:schemeClr>
                        </a:gs>
                        <a:gs pos="78000">
                          <a:schemeClr val="accent6">
                            <a:tint val="90000"/>
                            <a:shade val="89000"/>
                            <a:satMod val="220000"/>
                          </a:schemeClr>
                        </a:gs>
                        <a:gs pos="100000">
                          <a:schemeClr val="accent6">
                            <a:tint val="12000"/>
                            <a:satMod val="255000"/>
                          </a:schemeClr>
                        </a:gs>
                      </a:gsLst>
                      <a:lin ang="5400000"/>
                    </a:gradFill>
                    <a:effectLst>
                      <a:innerShdw blurRad="69850" dist="43180" dir="5400000">
                        <a:srgbClr val="000000">
                          <a:alpha val="65000"/>
                        </a:srgbClr>
                      </a:innerShdw>
                    </a:effectLst>
                  </a:rPr>
                  <a:t>COLUMN</a:t>
                </a:r>
                <a:endParaRPr lang="en-US" sz="1400" b="1" cap="none" spc="50">
                  <a:ln w="18415" cmpd="sng">
                    <a:noFill/>
                    <a:prstDash val="solid"/>
                  </a:ln>
                  <a:solidFill>
                    <a:schemeClr val="tx1"/>
                  </a:solidFill>
                  <a:effectLst>
                    <a:outerShdw blurRad="76200" dist="50800" dir="5400000" algn="tl" rotWithShape="0">
                      <a:srgbClr val="000000">
                        <a:alpha val="65000"/>
                      </a:srgbClr>
                    </a:outerShdw>
                  </a:effectLst>
                </a:endParaRPr>
              </a:p>
            </xdr:txBody>
          </xdr:sp>
          <xdr:sp macro="" textlink="">
            <xdr:nvSpPr>
              <xdr:cNvPr id="41" name="TextBox 40"/>
              <xdr:cNvSpPr txBox="1"/>
            </xdr:nvSpPr>
            <xdr:spPr>
              <a:xfrm rot="18242129">
                <a:off x="5853967" y="2128601"/>
                <a:ext cx="603307" cy="31149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400" b="1" cap="none" spc="0">
                    <a:ln w="1905"/>
                    <a:gradFill>
                      <a:gsLst>
                        <a:gs pos="0">
                          <a:schemeClr val="accent6">
                            <a:shade val="20000"/>
                            <a:satMod val="200000"/>
                          </a:schemeClr>
                        </a:gs>
                        <a:gs pos="78000">
                          <a:schemeClr val="accent6">
                            <a:tint val="90000"/>
                            <a:shade val="89000"/>
                            <a:satMod val="220000"/>
                          </a:schemeClr>
                        </a:gs>
                        <a:gs pos="100000">
                          <a:schemeClr val="accent6">
                            <a:tint val="12000"/>
                            <a:satMod val="255000"/>
                          </a:schemeClr>
                        </a:gs>
                      </a:gsLst>
                      <a:lin ang="5400000"/>
                    </a:gradFill>
                    <a:effectLst>
                      <a:innerShdw blurRad="69850" dist="43180" dir="5400000">
                        <a:srgbClr val="000000">
                          <a:alpha val="65000"/>
                        </a:srgbClr>
                      </a:innerShdw>
                    </a:effectLst>
                    <a:latin typeface="+mn-lt"/>
                    <a:ea typeface="+mn-ea"/>
                    <a:cs typeface="+mn-cs"/>
                  </a:rPr>
                  <a:t>Brace</a:t>
                </a:r>
              </a:p>
            </xdr:txBody>
          </xdr:sp>
          <xdr:sp macro="" textlink="">
            <xdr:nvSpPr>
              <xdr:cNvPr id="42" name="TextBox 41"/>
              <xdr:cNvSpPr txBox="1"/>
            </xdr:nvSpPr>
            <xdr:spPr>
              <a:xfrm rot="18242129">
                <a:off x="6406741" y="1312201"/>
                <a:ext cx="553613" cy="31149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400" b="1" cap="none" spc="0">
                    <a:ln w="1905"/>
                    <a:gradFill>
                      <a:gsLst>
                        <a:gs pos="0">
                          <a:schemeClr val="accent6">
                            <a:shade val="20000"/>
                            <a:satMod val="200000"/>
                          </a:schemeClr>
                        </a:gs>
                        <a:gs pos="78000">
                          <a:schemeClr val="accent6">
                            <a:tint val="90000"/>
                            <a:shade val="89000"/>
                            <a:satMod val="220000"/>
                          </a:schemeClr>
                        </a:gs>
                        <a:gs pos="100000">
                          <a:schemeClr val="accent6">
                            <a:tint val="12000"/>
                            <a:satMod val="255000"/>
                          </a:schemeClr>
                        </a:gs>
                      </a:gsLst>
                      <a:lin ang="5400000"/>
                    </a:gradFill>
                    <a:effectLst>
                      <a:innerShdw blurRad="69850" dist="43180" dir="5400000">
                        <a:srgbClr val="000000">
                          <a:alpha val="65000"/>
                        </a:srgbClr>
                      </a:innerShdw>
                    </a:effectLst>
                    <a:latin typeface="+mn-lt"/>
                    <a:ea typeface="+mn-ea"/>
                    <a:cs typeface="+mn-cs"/>
                  </a:rPr>
                  <a:t>Filler</a:t>
                </a:r>
              </a:p>
            </xdr:txBody>
          </xdr:sp>
        </xdr:grpSp>
        <xdr:grpSp>
          <xdr:nvGrpSpPr>
            <xdr:cNvPr id="33" name="Group 32"/>
            <xdr:cNvGrpSpPr/>
          </xdr:nvGrpSpPr>
          <xdr:grpSpPr>
            <a:xfrm>
              <a:off x="4459262" y="967786"/>
              <a:ext cx="2489593" cy="1373639"/>
              <a:chOff x="4459262" y="967786"/>
              <a:chExt cx="2489593" cy="1373639"/>
            </a:xfrm>
          </xdr:grpSpPr>
          <xdr:cxnSp macro="">
            <xdr:nvCxnSpPr>
              <xdr:cNvPr id="34" name="Straight Connector 33"/>
              <xdr:cNvCxnSpPr/>
            </xdr:nvCxnSpPr>
            <xdr:spPr>
              <a:xfrm flipH="1">
                <a:off x="6511487" y="1292780"/>
                <a:ext cx="92005" cy="130496"/>
              </a:xfrm>
              <a:prstGeom prst="line">
                <a:avLst/>
              </a:prstGeom>
              <a:ln w="28575"/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" name="Straight Connector 34"/>
              <xdr:cNvCxnSpPr/>
            </xdr:nvCxnSpPr>
            <xdr:spPr>
              <a:xfrm flipH="1">
                <a:off x="6861542" y="1518886"/>
                <a:ext cx="87313" cy="130495"/>
              </a:xfrm>
              <a:prstGeom prst="line">
                <a:avLst/>
              </a:prstGeom>
              <a:ln w="28575"/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6" name="Straight Connector 35"/>
              <xdr:cNvCxnSpPr/>
            </xdr:nvCxnSpPr>
            <xdr:spPr>
              <a:xfrm flipH="1" flipV="1">
                <a:off x="5669987" y="967786"/>
                <a:ext cx="69898" cy="62517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7" name="Straight Connector 36"/>
              <xdr:cNvCxnSpPr/>
            </xdr:nvCxnSpPr>
            <xdr:spPr>
              <a:xfrm flipH="1">
                <a:off x="4459262" y="2279176"/>
                <a:ext cx="71040" cy="62249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</xdr:grpSp>
      <xdr:sp macro="" textlink="$B$15">
        <xdr:nvSpPr>
          <xdr:cNvPr id="117" name="TextBox 116"/>
          <xdr:cNvSpPr txBox="1"/>
        </xdr:nvSpPr>
        <xdr:spPr>
          <a:xfrm>
            <a:off x="4222984" y="2446395"/>
            <a:ext cx="310239" cy="1952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fld id="{D33AC347-3212-4697-9332-CC2DD37FDAE2}" type="TxLink">
              <a:rPr lang="en-US" sz="600" b="0" i="0" u="none" strike="noStrike">
                <a:solidFill>
                  <a:schemeClr val="tx1"/>
                </a:solidFill>
                <a:latin typeface="Cambria"/>
              </a:rPr>
              <a:pPr/>
              <a:t>E60</a:t>
            </a:fld>
            <a:endParaRPr lang="en-US" sz="900">
              <a:solidFill>
                <a:schemeClr val="tx1"/>
              </a:solidFill>
            </a:endParaRPr>
          </a:p>
        </xdr:txBody>
      </xdr:sp>
      <xdr:sp macro="" textlink="$B$15">
        <xdr:nvSpPr>
          <xdr:cNvPr id="119" name="TextBox 118"/>
          <xdr:cNvSpPr txBox="1"/>
        </xdr:nvSpPr>
        <xdr:spPr>
          <a:xfrm>
            <a:off x="5206914" y="1447674"/>
            <a:ext cx="310239" cy="1952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fld id="{D33AC347-3212-4697-9332-CC2DD37FDAE2}" type="TxLink">
              <a:rPr lang="en-US" sz="600" b="0" i="0" u="none" strike="noStrike">
                <a:solidFill>
                  <a:schemeClr val="tx1"/>
                </a:solidFill>
                <a:latin typeface="Cambria"/>
              </a:rPr>
              <a:pPr/>
              <a:t>E60</a:t>
            </a:fld>
            <a:endParaRPr lang="en-US" sz="900">
              <a:solidFill>
                <a:schemeClr val="tx1"/>
              </a:solidFill>
            </a:endParaRPr>
          </a:p>
        </xdr:txBody>
      </xdr:sp>
      <xdr:sp macro="" textlink="$B$15">
        <xdr:nvSpPr>
          <xdr:cNvPr id="120" name="TextBox 119"/>
          <xdr:cNvSpPr txBox="1"/>
        </xdr:nvSpPr>
        <xdr:spPr>
          <a:xfrm>
            <a:off x="6799505" y="2279574"/>
            <a:ext cx="310239" cy="1952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fld id="{D33AC347-3212-4697-9332-CC2DD37FDAE2}" type="TxLink">
              <a:rPr lang="en-US" sz="600" b="0" i="0" u="none" strike="noStrike">
                <a:solidFill>
                  <a:schemeClr val="tx1"/>
                </a:solidFill>
                <a:latin typeface="Cambria"/>
              </a:rPr>
              <a:pPr/>
              <a:t>E60</a:t>
            </a:fld>
            <a:endParaRPr lang="en-US" sz="900">
              <a:solidFill>
                <a:schemeClr val="tx1"/>
              </a:solidFill>
            </a:endParaRPr>
          </a:p>
        </xdr:txBody>
      </xdr:sp>
      <xdr:sp macro="" textlink="$B$15">
        <xdr:nvSpPr>
          <xdr:cNvPr id="121" name="TextBox 120"/>
          <xdr:cNvSpPr txBox="1"/>
        </xdr:nvSpPr>
        <xdr:spPr>
          <a:xfrm>
            <a:off x="6620601" y="3058402"/>
            <a:ext cx="310239" cy="1952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fld id="{D33AC347-3212-4697-9332-CC2DD37FDAE2}" type="TxLink">
              <a:rPr lang="en-US" sz="600" b="0" i="0" u="none" strike="noStrike">
                <a:solidFill>
                  <a:schemeClr val="tx1"/>
                </a:solidFill>
                <a:latin typeface="Cambria"/>
              </a:rPr>
              <a:pPr/>
              <a:t>E60</a:t>
            </a:fld>
            <a:endParaRPr lang="en-US" sz="900">
              <a:solidFill>
                <a:schemeClr val="tx1"/>
              </a:solidFill>
            </a:endParaRPr>
          </a:p>
        </xdr:txBody>
      </xdr:sp>
      <xdr:sp macro="" textlink="$C$30">
        <xdr:nvSpPr>
          <xdr:cNvPr id="122" name="TextBox 121"/>
          <xdr:cNvSpPr txBox="1"/>
        </xdr:nvSpPr>
        <xdr:spPr>
          <a:xfrm>
            <a:off x="6415852" y="3106619"/>
            <a:ext cx="160370" cy="2898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fld id="{1432040B-A4F8-44AE-B41D-8F0DE82091A7}" type="TxLink">
              <a:rPr lang="en-US" sz="600" b="0" i="0" u="none" strike="noStrike">
                <a:solidFill>
                  <a:schemeClr val="tx1"/>
                </a:solidFill>
                <a:latin typeface="Cambria"/>
              </a:rPr>
              <a:pPr algn="l"/>
              <a:t>5</a:t>
            </a:fld>
            <a:endParaRPr lang="en-US" sz="700">
              <a:solidFill>
                <a:schemeClr val="tx1"/>
              </a:solidFill>
            </a:endParaRPr>
          </a:p>
        </xdr:txBody>
      </xdr:sp>
      <xdr:sp macro="" textlink="$W$62">
        <xdr:nvSpPr>
          <xdr:cNvPr id="123" name="TextBox 122"/>
          <xdr:cNvSpPr txBox="1"/>
        </xdr:nvSpPr>
        <xdr:spPr>
          <a:xfrm>
            <a:off x="4663934" y="2499911"/>
            <a:ext cx="382821" cy="1913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marL="0" indent="0" algn="l"/>
            <a:fld id="{FC4BAA8E-00A5-4AA5-88C8-7EED9AF5B878}" type="TxLink">
              <a:rPr lang="en-US" sz="600" b="0" i="0" u="none" strike="noStrike">
                <a:solidFill>
                  <a:schemeClr val="tx1"/>
                </a:solidFill>
                <a:latin typeface="Cambria"/>
                <a:ea typeface="+mn-ea"/>
                <a:cs typeface="+mn-cs"/>
              </a:rPr>
              <a:pPr marL="0" indent="0" algn="l"/>
              <a:t>650</a:t>
            </a:fld>
            <a:endParaRPr lang="en-US" sz="600" b="0" i="0" u="none" strike="noStrike">
              <a:solidFill>
                <a:schemeClr val="tx1"/>
              </a:solidFill>
              <a:latin typeface="Cambria"/>
              <a:ea typeface="+mn-ea"/>
              <a:cs typeface="+mn-cs"/>
            </a:endParaRPr>
          </a:p>
        </xdr:txBody>
      </xdr:sp>
      <xdr:sp macro="" textlink="$C$29">
        <xdr:nvSpPr>
          <xdr:cNvPr id="124" name="TextBox 123"/>
          <xdr:cNvSpPr txBox="1"/>
        </xdr:nvSpPr>
        <xdr:spPr>
          <a:xfrm>
            <a:off x="5454320" y="1489179"/>
            <a:ext cx="160370" cy="1913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marL="0" indent="0" algn="l"/>
            <a:fld id="{231E7AC9-8E84-484A-B6AC-9134BFC2FBE7}" type="TxLink">
              <a:rPr lang="en-US" sz="600" b="0" i="0" u="none" strike="noStrike">
                <a:solidFill>
                  <a:schemeClr val="tx1"/>
                </a:solidFill>
                <a:latin typeface="Cambria"/>
                <a:ea typeface="+mn-ea"/>
                <a:cs typeface="+mn-cs"/>
              </a:rPr>
              <a:pPr marL="0" indent="0" algn="l"/>
              <a:t>5</a:t>
            </a:fld>
            <a:endParaRPr lang="en-US" sz="600" b="0" i="0" u="none" strike="noStrike">
              <a:solidFill>
                <a:schemeClr val="tx1"/>
              </a:solidFill>
              <a:latin typeface="Cambria"/>
              <a:ea typeface="+mn-ea"/>
              <a:cs typeface="+mn-cs"/>
            </a:endParaRPr>
          </a:p>
        </xdr:txBody>
      </xdr:sp>
      <xdr:sp macro="" textlink="$W$60">
        <xdr:nvSpPr>
          <xdr:cNvPr id="125" name="TextBox 124"/>
          <xdr:cNvSpPr txBox="1"/>
        </xdr:nvSpPr>
        <xdr:spPr>
          <a:xfrm>
            <a:off x="6294449" y="2347899"/>
            <a:ext cx="424608" cy="1913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marL="0" indent="0" algn="l"/>
            <a:fld id="{DC60E71E-02E2-4F7F-BAC5-1D0FD1304643}" type="TxLink">
              <a:rPr lang="en-US" sz="600" b="0" i="0" u="none" strike="noStrike">
                <a:solidFill>
                  <a:schemeClr val="tx1"/>
                </a:solidFill>
                <a:latin typeface="Cambria"/>
                <a:ea typeface="+mn-ea"/>
                <a:cs typeface="+mn-cs"/>
              </a:rPr>
              <a:pPr marL="0" indent="0" algn="l"/>
              <a:t>350</a:t>
            </a:fld>
            <a:endParaRPr lang="en-US" sz="600" b="0" i="0" u="none" strike="noStrike">
              <a:solidFill>
                <a:schemeClr val="tx1"/>
              </a:solidFill>
              <a:latin typeface="Cambria"/>
              <a:ea typeface="+mn-ea"/>
              <a:cs typeface="+mn-cs"/>
            </a:endParaRPr>
          </a:p>
        </xdr:txBody>
      </xdr:sp>
      <xdr:sp macro="" textlink="$C$30">
        <xdr:nvSpPr>
          <xdr:cNvPr id="126" name="TextBox 125"/>
          <xdr:cNvSpPr txBox="1"/>
        </xdr:nvSpPr>
        <xdr:spPr>
          <a:xfrm>
            <a:off x="4505251" y="2498351"/>
            <a:ext cx="160370" cy="2898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fld id="{1432040B-A4F8-44AE-B41D-8F0DE82091A7}" type="TxLink">
              <a:rPr lang="en-US" sz="600" b="0" i="0" u="none" strike="noStrike">
                <a:solidFill>
                  <a:schemeClr val="tx1"/>
                </a:solidFill>
                <a:latin typeface="Cambria"/>
              </a:rPr>
              <a:pPr algn="l"/>
              <a:t>5</a:t>
            </a:fld>
            <a:endParaRPr lang="en-US" sz="700">
              <a:solidFill>
                <a:schemeClr val="tx1"/>
              </a:solidFill>
            </a:endParaRPr>
          </a:p>
        </xdr:txBody>
      </xdr:sp>
      <xdr:sp macro="" textlink="$W$61">
        <xdr:nvSpPr>
          <xdr:cNvPr id="127" name="TextBox 126"/>
          <xdr:cNvSpPr txBox="1"/>
        </xdr:nvSpPr>
        <xdr:spPr>
          <a:xfrm>
            <a:off x="6065053" y="3106387"/>
            <a:ext cx="416961" cy="1408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fld id="{A775D7E8-BE69-4877-85D3-73F534234A78}" type="TxLink">
              <a:rPr lang="en-US" sz="600" b="0" i="0" u="none" strike="noStrike">
                <a:solidFill>
                  <a:schemeClr val="tx1"/>
                </a:solidFill>
                <a:latin typeface="Cambria"/>
                <a:ea typeface="+mn-ea"/>
                <a:cs typeface="+mn-cs"/>
              </a:rPr>
              <a:pPr marL="0" indent="0" algn="ctr"/>
              <a:t>600</a:t>
            </a:fld>
            <a:endParaRPr lang="en-US" sz="600" b="0" i="0" u="none" strike="noStrike">
              <a:solidFill>
                <a:schemeClr val="tx1"/>
              </a:solidFill>
              <a:latin typeface="Cambria"/>
              <a:ea typeface="+mn-ea"/>
              <a:cs typeface="+mn-cs"/>
            </a:endParaRPr>
          </a:p>
        </xdr:txBody>
      </xdr:sp>
      <xdr:cxnSp macro="">
        <xdr:nvCxnSpPr>
          <xdr:cNvPr id="129" name="Straight Arrow Connector 128"/>
          <xdr:cNvCxnSpPr/>
        </xdr:nvCxnSpPr>
        <xdr:spPr>
          <a:xfrm flipH="1">
            <a:off x="5898698" y="2761705"/>
            <a:ext cx="298527" cy="284616"/>
          </a:xfrm>
          <a:prstGeom prst="straightConnector1">
            <a:avLst/>
          </a:prstGeom>
          <a:ln>
            <a:solidFill>
              <a:schemeClr val="tx1"/>
            </a:solidFill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$C$29">
        <xdr:nvSpPr>
          <xdr:cNvPr id="130" name="TextBox 129"/>
          <xdr:cNvSpPr txBox="1"/>
        </xdr:nvSpPr>
        <xdr:spPr>
          <a:xfrm>
            <a:off x="6617770" y="2327163"/>
            <a:ext cx="160370" cy="1913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marL="0" indent="0" algn="l"/>
            <a:fld id="{231E7AC9-8E84-484A-B6AC-9134BFC2FBE7}" type="TxLink">
              <a:rPr lang="en-US" sz="600" b="0" i="0" u="none" strike="noStrike">
                <a:solidFill>
                  <a:schemeClr val="tx1"/>
                </a:solidFill>
                <a:latin typeface="Cambria"/>
                <a:ea typeface="+mn-ea"/>
                <a:cs typeface="+mn-cs"/>
              </a:rPr>
              <a:pPr marL="0" indent="0" algn="l"/>
              <a:t>5</a:t>
            </a:fld>
            <a:endParaRPr lang="en-US" sz="600" b="0" i="0" u="none" strike="noStrike">
              <a:solidFill>
                <a:schemeClr val="tx1"/>
              </a:solidFill>
              <a:latin typeface="Cambri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</xdr:col>
      <xdr:colOff>0</xdr:colOff>
      <xdr:row>64</xdr:row>
      <xdr:rowOff>15530</xdr:rowOff>
    </xdr:from>
    <xdr:to>
      <xdr:col>15</xdr:col>
      <xdr:colOff>170830</xdr:colOff>
      <xdr:row>64</xdr:row>
      <xdr:rowOff>20707</xdr:rowOff>
    </xdr:to>
    <xdr:cxnSp macro="">
      <xdr:nvCxnSpPr>
        <xdr:cNvPr id="43" name="Straight Arrow Connector 42"/>
        <xdr:cNvCxnSpPr/>
      </xdr:nvCxnSpPr>
      <xdr:spPr>
        <a:xfrm flipH="1">
          <a:off x="6051481" y="9757948"/>
          <a:ext cx="170830" cy="517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0</xdr:col>
      <xdr:colOff>531536</xdr:colOff>
      <xdr:row>74</xdr:row>
      <xdr:rowOff>78581</xdr:rowOff>
    </xdr:from>
    <xdr:ext cx="1044965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TextBox 115"/>
            <xdr:cNvSpPr txBox="1"/>
          </xdr:nvSpPr>
          <xdr:spPr>
            <a:xfrm>
              <a:off x="531536" y="11073744"/>
              <a:ext cx="104496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b="0" i="1">
                        <a:latin typeface="Cambria Math" panose="02040503050406030204" pitchFamily="18" charset="0"/>
                      </a:rPr>
                      <m:t>𝑊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2</m:t>
                    </m:r>
                    <m:sSub>
                      <m:sSubPr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  <m:sub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en-US" sz="800" b="0" i="1">
                        <a:latin typeface="Cambria Math" panose="02040503050406030204" pitchFamily="18" charset="0"/>
                      </a:rPr>
                      <m:t>𝑡𝑎𝑛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30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16" name="TextBox 115"/>
            <xdr:cNvSpPr txBox="1"/>
          </xdr:nvSpPr>
          <xdr:spPr>
            <a:xfrm>
              <a:off x="531536" y="11073744"/>
              <a:ext cx="1044965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800" b="0" i="0">
                  <a:latin typeface="Cambria Math" panose="02040503050406030204" pitchFamily="18" charset="0"/>
                </a:rPr>
                <a:t>𝑊=𝑑_𝑏+2𝐿_𝑤 𝑡𝑎𝑛30=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4</xdr:col>
      <xdr:colOff>0</xdr:colOff>
      <xdr:row>74</xdr:row>
      <xdr:rowOff>82826</xdr:rowOff>
    </xdr:from>
    <xdr:ext cx="158120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1" name="TextBox 130"/>
            <xdr:cNvSpPr txBox="1"/>
          </xdr:nvSpPr>
          <xdr:spPr>
            <a:xfrm>
              <a:off x="1987826" y="11077989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800" i="1">
                        <a:latin typeface="Cambria Math" panose="02040503050406030204" pitchFamily="18" charset="0"/>
                      </a:rPr>
                      <m:t>𝑐</m:t>
                    </m:r>
                    <m:r>
                      <a:rPr lang="en-US" sz="800" b="0" i="1">
                        <a:latin typeface="Cambria Math" panose="02040503050406030204" pitchFamily="18" charset="0"/>
                      </a:rPr>
                      <m:t>𝑚</m:t>
                    </m:r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31" name="TextBox 130"/>
            <xdr:cNvSpPr txBox="1"/>
          </xdr:nvSpPr>
          <xdr:spPr>
            <a:xfrm>
              <a:off x="1987826" y="11077989"/>
              <a:ext cx="158120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800" i="0">
                  <a:latin typeface="Cambria Math" panose="02040503050406030204" pitchFamily="18" charset="0"/>
                </a:rPr>
                <a:t>𝑐</a:t>
              </a:r>
              <a:r>
                <a:rPr lang="en-US" sz="800" b="0" i="0">
                  <a:latin typeface="Cambria Math" panose="02040503050406030204" pitchFamily="18" charset="0"/>
                </a:rPr>
                <a:t>𝑚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355530</xdr:colOff>
      <xdr:row>77</xdr:row>
      <xdr:rowOff>83757</xdr:rowOff>
    </xdr:from>
    <xdr:ext cx="1700401" cy="1499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8" name="TextBox 127"/>
            <xdr:cNvSpPr txBox="1"/>
          </xdr:nvSpPr>
          <xdr:spPr>
            <a:xfrm>
              <a:off x="888723" y="11829531"/>
              <a:ext cx="1700401" cy="1499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𝑟</m:t>
                        </m:r>
                      </m:sub>
                    </m:sSub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𝜑</m:t>
                    </m:r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9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𝑔</m:t>
                        </m:r>
                      </m:sub>
                    </m:sSub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9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𝑊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𝐺𝑃</m:t>
                        </m:r>
                      </m:sub>
                    </m:sSub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28" name="TextBox 127"/>
            <xdr:cNvSpPr txBox="1"/>
          </xdr:nvSpPr>
          <xdr:spPr>
            <a:xfrm>
              <a:off x="888723" y="11829531"/>
              <a:ext cx="1700401" cy="1499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𝑇_𝑟</a:t>
              </a:r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≤𝜑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𝑇_𝑛=0.9𝐴_𝑔 𝐹_𝑦=0.9𝑊𝑡_𝐺𝑃 𝐹_𝑦</a:t>
              </a:r>
              <a:endParaRPr lang="en-US" sz="900"/>
            </a:p>
          </xdr:txBody>
        </xdr:sp>
      </mc:Fallback>
    </mc:AlternateContent>
    <xdr:clientData/>
  </xdr:oneCellAnchor>
  <xdr:twoCellAnchor>
    <xdr:from>
      <xdr:col>5</xdr:col>
      <xdr:colOff>258832</xdr:colOff>
      <xdr:row>77</xdr:row>
      <xdr:rowOff>144946</xdr:rowOff>
    </xdr:from>
    <xdr:to>
      <xdr:col>6</xdr:col>
      <xdr:colOff>295068</xdr:colOff>
      <xdr:row>78</xdr:row>
      <xdr:rowOff>0</xdr:rowOff>
    </xdr:to>
    <xdr:cxnSp macro="">
      <xdr:nvCxnSpPr>
        <xdr:cNvPr id="133" name="Straight Arrow Connector 132"/>
        <xdr:cNvCxnSpPr/>
      </xdr:nvCxnSpPr>
      <xdr:spPr>
        <a:xfrm>
          <a:off x="2619375" y="11890720"/>
          <a:ext cx="419307" cy="517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</xdr:col>
      <xdr:colOff>350354</xdr:colOff>
      <xdr:row>93</xdr:row>
      <xdr:rowOff>78580</xdr:rowOff>
    </xdr:from>
    <xdr:ext cx="696601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8" name="TextBox 137"/>
            <xdr:cNvSpPr txBox="1"/>
          </xdr:nvSpPr>
          <xdr:spPr>
            <a:xfrm>
              <a:off x="883547" y="14257371"/>
              <a:ext cx="696601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𝐺𝑃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38" name="TextBox 137"/>
            <xdr:cNvSpPr txBox="1"/>
          </xdr:nvSpPr>
          <xdr:spPr>
            <a:xfrm>
              <a:off x="883547" y="14257371"/>
              <a:ext cx="696601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𝐴_𝑡=𝑑_𝑏 𝑡_𝐺𝑃=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3</xdr:col>
      <xdr:colOff>417651</xdr:colOff>
      <xdr:row>93</xdr:row>
      <xdr:rowOff>99288</xdr:rowOff>
    </xdr:from>
    <xdr:ext cx="205697" cy="1275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0" name="TextBox 139"/>
            <xdr:cNvSpPr txBox="1"/>
          </xdr:nvSpPr>
          <xdr:spPr>
            <a:xfrm>
              <a:off x="1986170" y="14278079"/>
              <a:ext cx="205697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8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𝑐𝑚</m:t>
                        </m:r>
                      </m:e>
                      <m:sup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40" name="TextBox 139"/>
            <xdr:cNvSpPr txBox="1"/>
          </xdr:nvSpPr>
          <xdr:spPr>
            <a:xfrm>
              <a:off x="1986170" y="14278079"/>
              <a:ext cx="205697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800" i="0">
                  <a:latin typeface="Cambria Math" panose="02040503050406030204" pitchFamily="18" charset="0"/>
                </a:rPr>
                <a:t>〖</a:t>
              </a:r>
              <a:r>
                <a:rPr lang="en-US" sz="800" b="0" i="0">
                  <a:latin typeface="Cambria Math" panose="02040503050406030204" pitchFamily="18" charset="0"/>
                </a:rPr>
                <a:t>𝑐𝑚〗^2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254276</xdr:colOff>
      <xdr:row>95</xdr:row>
      <xdr:rowOff>70505</xdr:rowOff>
    </xdr:from>
    <xdr:ext cx="783741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1" name="TextBox 140"/>
            <xdr:cNvSpPr txBox="1"/>
          </xdr:nvSpPr>
          <xdr:spPr>
            <a:xfrm>
              <a:off x="787469" y="14549540"/>
              <a:ext cx="783741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𝑣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𝐺𝑃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41" name="TextBox 140"/>
            <xdr:cNvSpPr txBox="1"/>
          </xdr:nvSpPr>
          <xdr:spPr>
            <a:xfrm>
              <a:off x="787469" y="14549540"/>
              <a:ext cx="783741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𝐴_𝑣=〖2𝐿〗_𝑤 𝑡_𝐺𝑃=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3</xdr:col>
      <xdr:colOff>409576</xdr:colOff>
      <xdr:row>95</xdr:row>
      <xdr:rowOff>101566</xdr:rowOff>
    </xdr:from>
    <xdr:ext cx="205697" cy="1275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2" name="TextBox 141"/>
            <xdr:cNvSpPr txBox="1"/>
          </xdr:nvSpPr>
          <xdr:spPr>
            <a:xfrm>
              <a:off x="1978095" y="14580601"/>
              <a:ext cx="205697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8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𝑐𝑚</m:t>
                        </m:r>
                      </m:e>
                      <m:sup>
                        <m:r>
                          <a:rPr lang="en-US" sz="8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42" name="TextBox 141"/>
            <xdr:cNvSpPr txBox="1"/>
          </xdr:nvSpPr>
          <xdr:spPr>
            <a:xfrm>
              <a:off x="1978095" y="14580601"/>
              <a:ext cx="205697" cy="1275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800" i="0">
                  <a:latin typeface="Cambria Math" panose="02040503050406030204" pitchFamily="18" charset="0"/>
                </a:rPr>
                <a:t>〖</a:t>
              </a:r>
              <a:r>
                <a:rPr lang="en-US" sz="800" b="0" i="0">
                  <a:latin typeface="Cambria Math" panose="02040503050406030204" pitchFamily="18" charset="0"/>
                </a:rPr>
                <a:t>𝑐𝑚〗^2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1</xdr:col>
      <xdr:colOff>184700</xdr:colOff>
      <xdr:row>99</xdr:row>
      <xdr:rowOff>78580</xdr:rowOff>
    </xdr:from>
    <xdr:ext cx="1593962" cy="1496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3" name="TextBox 142"/>
            <xdr:cNvSpPr txBox="1"/>
          </xdr:nvSpPr>
          <xdr:spPr>
            <a:xfrm>
              <a:off x="717893" y="15168458"/>
              <a:ext cx="1593962" cy="1496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9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</a:rPr>
                          <m:t>𝑟</m:t>
                        </m:r>
                      </m:sub>
                    </m:sSub>
                    <m:r>
                      <a:rPr lang="en-US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fa-IR" sz="9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</m:t>
                    </m:r>
                    <m:r>
                      <a:rPr lang="fa-IR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fa-IR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75</m:t>
                    </m:r>
                    <m:sSub>
                      <m:sSubPr>
                        <m:ctrlPr>
                          <a:rPr lang="fa-IR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𝑢</m:t>
                        </m:r>
                      </m:sub>
                    </m:sSub>
                    <m:sSub>
                      <m:sSubPr>
                        <m:ctrlPr>
                          <a:rPr lang="fa-IR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9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0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9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6</m:t>
                    </m:r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</m:t>
                        </m:r>
                      </m:sub>
                    </m:sSub>
                    <m:sSub>
                      <m:sSubPr>
                        <m:ctrlP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𝑣</m:t>
                        </m:r>
                      </m:sub>
                    </m:sSub>
                  </m:oMath>
                </m:oMathPara>
              </a14:m>
              <a:endParaRPr lang="en-US" sz="900"/>
            </a:p>
          </xdr:txBody>
        </xdr:sp>
      </mc:Choice>
      <mc:Fallback xmlns="">
        <xdr:sp macro="" textlink="">
          <xdr:nvSpPr>
            <xdr:cNvPr id="143" name="TextBox 142"/>
            <xdr:cNvSpPr txBox="1"/>
          </xdr:nvSpPr>
          <xdr:spPr>
            <a:xfrm>
              <a:off x="717893" y="15168458"/>
              <a:ext cx="1593962" cy="1496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900" b="0" i="0">
                  <a:latin typeface="Cambria Math" panose="02040503050406030204" pitchFamily="18" charset="0"/>
                </a:rPr>
                <a:t>𝑇_𝑟</a:t>
              </a:r>
              <a:r>
                <a:rPr lang="en-US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fa-IR" sz="900" i="0">
                  <a:latin typeface="Cambria Math" panose="02040503050406030204" pitchFamily="18" charset="0"/>
                  <a:ea typeface="Cambria Math" panose="02040503050406030204" pitchFamily="18" charset="0"/>
                </a:rPr>
                <a:t>0</a:t>
              </a:r>
              <a:r>
                <a:rPr lang="fa-IR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.75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𝐹</a:t>
              </a:r>
              <a:r>
                <a:rPr lang="fa-IR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𝑢</a:t>
              </a:r>
              <a:r>
                <a:rPr lang="fa-IR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𝐴</a:t>
              </a:r>
              <a:r>
                <a:rPr lang="fa-IR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</a:t>
              </a:r>
              <a:r>
                <a:rPr lang="en-US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𝑡+0.9×0.6𝐹_𝑦 𝐴_𝑣</a:t>
              </a:r>
              <a:endParaRPr lang="en-US" sz="900"/>
            </a:p>
          </xdr:txBody>
        </xdr:sp>
      </mc:Fallback>
    </mc:AlternateContent>
    <xdr:clientData/>
  </xdr:oneCellAnchor>
  <xdr:twoCellAnchor>
    <xdr:from>
      <xdr:col>11</xdr:col>
      <xdr:colOff>5176</xdr:colOff>
      <xdr:row>75</xdr:row>
      <xdr:rowOff>98357</xdr:rowOff>
    </xdr:from>
    <xdr:to>
      <xdr:col>16</xdr:col>
      <xdr:colOff>284077</xdr:colOff>
      <xdr:row>89</xdr:row>
      <xdr:rowOff>78161</xdr:rowOff>
    </xdr:to>
    <xdr:grpSp>
      <xdr:nvGrpSpPr>
        <xdr:cNvPr id="169" name="Group 168"/>
        <xdr:cNvGrpSpPr/>
      </xdr:nvGrpSpPr>
      <xdr:grpSpPr>
        <a:xfrm>
          <a:off x="5049538" y="11946291"/>
          <a:ext cx="1834003" cy="2156947"/>
          <a:chOff x="5046237" y="11726046"/>
          <a:chExt cx="1824467" cy="2118436"/>
        </a:xfrm>
      </xdr:grpSpPr>
      <xdr:grpSp>
        <xdr:nvGrpSpPr>
          <xdr:cNvPr id="144" name="Group 143"/>
          <xdr:cNvGrpSpPr/>
        </xdr:nvGrpSpPr>
        <xdr:grpSpPr>
          <a:xfrm>
            <a:off x="5046237" y="11726046"/>
            <a:ext cx="1824467" cy="2118436"/>
            <a:chOff x="6684027" y="4152172"/>
            <a:chExt cx="1831890" cy="2081516"/>
          </a:xfrm>
        </xdr:grpSpPr>
        <xdr:cxnSp macro="">
          <xdr:nvCxnSpPr>
            <xdr:cNvPr id="145" name="Straight Connector 144"/>
            <xdr:cNvCxnSpPr/>
          </xdr:nvCxnSpPr>
          <xdr:spPr>
            <a:xfrm flipH="1">
              <a:off x="7147808" y="4152172"/>
              <a:ext cx="1174227" cy="1092646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6" name="Straight Connector 145"/>
            <xdr:cNvCxnSpPr/>
          </xdr:nvCxnSpPr>
          <xdr:spPr>
            <a:xfrm flipH="1">
              <a:off x="7350104" y="4338119"/>
              <a:ext cx="1165813" cy="1087505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7" name="Straight Connector 146"/>
            <xdr:cNvCxnSpPr/>
          </xdr:nvCxnSpPr>
          <xdr:spPr>
            <a:xfrm rot="-1800000" flipH="1">
              <a:off x="7477299" y="5029083"/>
              <a:ext cx="608280" cy="56584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48" name="Straight Connector 147"/>
            <xdr:cNvCxnSpPr/>
          </xdr:nvCxnSpPr>
          <xdr:spPr>
            <a:xfrm flipH="1">
              <a:off x="6855031" y="4744318"/>
              <a:ext cx="827498" cy="245523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49" name="Straight Connector 148"/>
            <xdr:cNvCxnSpPr/>
          </xdr:nvCxnSpPr>
          <xdr:spPr>
            <a:xfrm flipH="1" flipV="1">
              <a:off x="7681917" y="4738770"/>
              <a:ext cx="210800" cy="17690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0" name="Straight Connector 149"/>
            <xdr:cNvCxnSpPr/>
          </xdr:nvCxnSpPr>
          <xdr:spPr>
            <a:xfrm flipH="1" flipV="1">
              <a:off x="6850621" y="4987304"/>
              <a:ext cx="811780" cy="72186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1" name="Straight Connector 150"/>
            <xdr:cNvCxnSpPr/>
          </xdr:nvCxnSpPr>
          <xdr:spPr>
            <a:xfrm flipH="1" flipV="1">
              <a:off x="6714655" y="5092730"/>
              <a:ext cx="808539" cy="727611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2" name="Straight Connector 151"/>
            <xdr:cNvCxnSpPr/>
          </xdr:nvCxnSpPr>
          <xdr:spPr>
            <a:xfrm flipH="1">
              <a:off x="7523194" y="5706120"/>
              <a:ext cx="138542" cy="116603"/>
            </a:xfrm>
            <a:prstGeom prst="line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3" name="Straight Connector 152"/>
            <xdr:cNvCxnSpPr/>
          </xdr:nvCxnSpPr>
          <xdr:spPr>
            <a:xfrm flipH="1">
              <a:off x="6714890" y="4985001"/>
              <a:ext cx="138542" cy="114717"/>
            </a:xfrm>
            <a:prstGeom prst="line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4" name="Straight Connector 153"/>
            <xdr:cNvCxnSpPr/>
          </xdr:nvCxnSpPr>
          <xdr:spPr>
            <a:xfrm flipH="1">
              <a:off x="6857765" y="5111703"/>
              <a:ext cx="138542" cy="116603"/>
            </a:xfrm>
            <a:prstGeom prst="line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5" name="Straight Connector 154"/>
            <xdr:cNvCxnSpPr/>
          </xdr:nvCxnSpPr>
          <xdr:spPr>
            <a:xfrm flipH="1">
              <a:off x="7007784" y="5247435"/>
              <a:ext cx="138542" cy="114717"/>
            </a:xfrm>
            <a:prstGeom prst="line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6" name="Straight Connector 155"/>
            <xdr:cNvCxnSpPr/>
          </xdr:nvCxnSpPr>
          <xdr:spPr>
            <a:xfrm flipH="1">
              <a:off x="7210190" y="5426524"/>
              <a:ext cx="137221" cy="114717"/>
            </a:xfrm>
            <a:prstGeom prst="line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7" name="Straight Connector 156"/>
            <xdr:cNvCxnSpPr/>
          </xdr:nvCxnSpPr>
          <xdr:spPr>
            <a:xfrm flipH="1">
              <a:off x="7373175" y="5577038"/>
              <a:ext cx="138542" cy="114717"/>
            </a:xfrm>
            <a:prstGeom prst="line">
              <a:avLst/>
            </a:prstGeom>
            <a:ln>
              <a:solidFill>
                <a:schemeClr val="tx1"/>
              </a:solidFill>
              <a:headEnd type="none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58" name="Arc 157"/>
            <xdr:cNvSpPr/>
          </xdr:nvSpPr>
          <xdr:spPr>
            <a:xfrm rot="8729569">
              <a:off x="7818037" y="4972800"/>
              <a:ext cx="60707" cy="58255"/>
            </a:xfrm>
            <a:prstGeom prst="arc">
              <a:avLst>
                <a:gd name="adj1" fmla="val 16200000"/>
                <a:gd name="adj2" fmla="val 5302099"/>
              </a:avLst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159" name="TextBox 158"/>
                <xdr:cNvSpPr txBox="1"/>
              </xdr:nvSpPr>
              <xdr:spPr>
                <a:xfrm>
                  <a:off x="7741078" y="5064694"/>
                  <a:ext cx="101566" cy="83741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p>
                          <m:sSupPr>
                            <m:ctrlPr>
                              <a:rPr lang="en-US" sz="5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500" b="0" i="1">
                                <a:latin typeface="Cambria Math" panose="02040503050406030204" pitchFamily="18" charset="0"/>
                              </a:rPr>
                              <m:t>30</m:t>
                            </m:r>
                          </m:e>
                          <m:sup>
                            <m:r>
                              <a:rPr lang="en-US" sz="500" i="1">
                                <a:latin typeface="Cambria Math" panose="02040503050406030204" pitchFamily="18" charset="0"/>
                              </a:rPr>
                              <m:t>˚</m:t>
                            </m:r>
                          </m:sup>
                        </m:sSup>
                      </m:oMath>
                    </m:oMathPara>
                  </a14:m>
                  <a:endParaRPr lang="en-US" sz="1100"/>
                </a:p>
              </xdr:txBody>
            </xdr:sp>
          </mc:Choice>
          <mc:Fallback xmlns="">
            <xdr:sp macro="" textlink="">
              <xdr:nvSpPr>
                <xdr:cNvPr id="159" name="TextBox 158"/>
                <xdr:cNvSpPr txBox="1"/>
              </xdr:nvSpPr>
              <xdr:spPr>
                <a:xfrm>
                  <a:off x="7741078" y="5064694"/>
                  <a:ext cx="101566" cy="83741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r>
                    <a:rPr lang="en-US" sz="500" i="0">
                      <a:latin typeface="Cambria Math" panose="02040503050406030204" pitchFamily="18" charset="0"/>
                    </a:rPr>
                    <a:t>〖</a:t>
                  </a:r>
                  <a:r>
                    <a:rPr lang="en-US" sz="500" b="0" i="0">
                      <a:latin typeface="Cambria Math" panose="02040503050406030204" pitchFamily="18" charset="0"/>
                    </a:rPr>
                    <a:t>30〗^</a:t>
                  </a:r>
                  <a:r>
                    <a:rPr lang="en-US" sz="500" i="0">
                      <a:latin typeface="Cambria Math" panose="02040503050406030204" pitchFamily="18" charset="0"/>
                    </a:rPr>
                    <a:t>˚</a:t>
                  </a:r>
                  <a:endParaRPr lang="en-US" sz="1100"/>
                </a:p>
              </xdr:txBody>
            </xdr:sp>
          </mc:Fallback>
        </mc:AlternateContent>
        <xdr:sp macro="" textlink="">
          <xdr:nvSpPr>
            <xdr:cNvPr id="160" name="Arc 159"/>
            <xdr:cNvSpPr/>
          </xdr:nvSpPr>
          <xdr:spPr>
            <a:xfrm rot="8729569">
              <a:off x="7546575" y="4774662"/>
              <a:ext cx="60707" cy="58255"/>
            </a:xfrm>
            <a:prstGeom prst="arc">
              <a:avLst>
                <a:gd name="adj1" fmla="val 16200000"/>
                <a:gd name="adj2" fmla="val 5302099"/>
              </a:avLst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mc:AlternateContent xmlns:mc="http://schemas.openxmlformats.org/markup-compatibility/2006" xmlns:a14="http://schemas.microsoft.com/office/drawing/2010/main">
          <mc:Choice Requires="a14">
            <xdr:sp macro="" textlink="">
              <xdr:nvSpPr>
                <xdr:cNvPr id="161" name="TextBox 160"/>
                <xdr:cNvSpPr txBox="1"/>
              </xdr:nvSpPr>
              <xdr:spPr>
                <a:xfrm>
                  <a:off x="7438659" y="4816550"/>
                  <a:ext cx="101566" cy="83741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pPr/>
                  <a14:m>
                    <m:oMathPara xmlns:m="http://schemas.openxmlformats.org/officeDocument/2006/math">
                      <m:oMathParaPr>
                        <m:jc m:val="centerGroup"/>
                      </m:oMathParaPr>
                      <m:oMath xmlns:m="http://schemas.openxmlformats.org/officeDocument/2006/math">
                        <m:sSup>
                          <m:sSupPr>
                            <m:ctrlPr>
                              <a:rPr lang="en-US" sz="5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500" b="0" i="1">
                                <a:latin typeface="Cambria Math" panose="02040503050406030204" pitchFamily="18" charset="0"/>
                              </a:rPr>
                              <m:t>30</m:t>
                            </m:r>
                          </m:e>
                          <m:sup>
                            <m:r>
                              <a:rPr lang="en-US" sz="500" i="1">
                                <a:latin typeface="Cambria Math" panose="02040503050406030204" pitchFamily="18" charset="0"/>
                              </a:rPr>
                              <m:t>˚</m:t>
                            </m:r>
                          </m:sup>
                        </m:sSup>
                      </m:oMath>
                    </m:oMathPara>
                  </a14:m>
                  <a:endParaRPr lang="en-US" sz="1100"/>
                </a:p>
              </xdr:txBody>
            </xdr:sp>
          </mc:Choice>
          <mc:Fallback xmlns="">
            <xdr:sp macro="" textlink="">
              <xdr:nvSpPr>
                <xdr:cNvPr id="161" name="TextBox 160"/>
                <xdr:cNvSpPr txBox="1"/>
              </xdr:nvSpPr>
              <xdr:spPr>
                <a:xfrm>
                  <a:off x="7438659" y="4816550"/>
                  <a:ext cx="101566" cy="83741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0" tIns="0" rIns="0" bIns="0" rtlCol="0" anchor="t">
                  <a:spAutoFit/>
                </a:bodyPr>
                <a:lstStyle/>
                <a:p>
                  <a:r>
                    <a:rPr lang="en-US" sz="500" i="0">
                      <a:latin typeface="Cambria Math" panose="02040503050406030204" pitchFamily="18" charset="0"/>
                    </a:rPr>
                    <a:t>〖</a:t>
                  </a:r>
                  <a:r>
                    <a:rPr lang="en-US" sz="500" b="0" i="0">
                      <a:latin typeface="Cambria Math" panose="02040503050406030204" pitchFamily="18" charset="0"/>
                    </a:rPr>
                    <a:t>30〗^</a:t>
                  </a:r>
                  <a:r>
                    <a:rPr lang="en-US" sz="500" i="0">
                      <a:latin typeface="Cambria Math" panose="02040503050406030204" pitchFamily="18" charset="0"/>
                    </a:rPr>
                    <a:t>˚</a:t>
                  </a:r>
                  <a:endParaRPr lang="en-US" sz="1100"/>
                </a:p>
              </xdr:txBody>
            </xdr:sp>
          </mc:Fallback>
        </mc:AlternateContent>
        <xdr:cxnSp macro="">
          <xdr:nvCxnSpPr>
            <xdr:cNvPr id="162" name="Straight Connector 161"/>
            <xdr:cNvCxnSpPr/>
          </xdr:nvCxnSpPr>
          <xdr:spPr>
            <a:xfrm flipH="1">
              <a:off x="6686361" y="4739160"/>
              <a:ext cx="998759" cy="9194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63" name="Straight Connector 162"/>
            <xdr:cNvCxnSpPr/>
          </xdr:nvCxnSpPr>
          <xdr:spPr>
            <a:xfrm>
              <a:off x="7907636" y="4903960"/>
              <a:ext cx="0" cy="1320297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64" name="Straight Connector 163"/>
            <xdr:cNvCxnSpPr/>
          </xdr:nvCxnSpPr>
          <xdr:spPr>
            <a:xfrm flipH="1">
              <a:off x="6691077" y="6224257"/>
              <a:ext cx="1216560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65" name="Straight Connector 164"/>
            <xdr:cNvCxnSpPr/>
          </xdr:nvCxnSpPr>
          <xdr:spPr>
            <a:xfrm flipH="1" flipV="1">
              <a:off x="6684027" y="4748590"/>
              <a:ext cx="4763" cy="1485098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166" name="TextBox 165"/>
            <xdr:cNvSpPr txBox="1"/>
          </xdr:nvSpPr>
          <xdr:spPr>
            <a:xfrm>
              <a:off x="6917413" y="5582970"/>
              <a:ext cx="3101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/>
                <a:t>W</a:t>
              </a:r>
            </a:p>
          </xdr:txBody>
        </xdr:sp>
      </xdr:grpSp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167" name="TextBox 166"/>
              <xdr:cNvSpPr txBox="1"/>
            </xdr:nvSpPr>
            <xdr:spPr>
              <a:xfrm rot="18931062">
                <a:off x="5596842" y="12548398"/>
                <a:ext cx="306727" cy="268483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sSub>
                        <m:sSubPr>
                          <m:ctrlPr>
                            <a:rPr lang="en-US" sz="110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𝐿</m:t>
                          </m:r>
                        </m:e>
                        <m:sub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𝑤</m:t>
                          </m:r>
                        </m:sub>
                      </m:sSub>
                    </m:oMath>
                  </m:oMathPara>
                </a14:m>
                <a:endParaRPr lang="en-US" sz="1100"/>
              </a:p>
            </xdr:txBody>
          </xdr:sp>
        </mc:Choice>
        <mc:Fallback xmlns="">
          <xdr:sp macro="" textlink="">
            <xdr:nvSpPr>
              <xdr:cNvPr id="167" name="TextBox 166"/>
              <xdr:cNvSpPr txBox="1"/>
            </xdr:nvSpPr>
            <xdr:spPr>
              <a:xfrm rot="18931062">
                <a:off x="5596842" y="12548398"/>
                <a:ext cx="306727" cy="268483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100" b="0" i="0">
                    <a:latin typeface="Cambria Math" panose="02040503050406030204" pitchFamily="18" charset="0"/>
                  </a:rPr>
                  <a:t>𝐿_𝑤</a:t>
                </a:r>
                <a:endParaRPr lang="en-US" sz="1100"/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168" name="TextBox 167"/>
              <xdr:cNvSpPr txBox="1"/>
            </xdr:nvSpPr>
            <xdr:spPr>
              <a:xfrm rot="18931062">
                <a:off x="6005208" y="12204067"/>
                <a:ext cx="312570" cy="268042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sSub>
                        <m:sSubPr>
                          <m:ctrlPr>
                            <a:rPr lang="en-US" sz="110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𝑑</m:t>
                          </m:r>
                        </m:e>
                        <m:sub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𝑏</m:t>
                          </m:r>
                        </m:sub>
                      </m:sSub>
                    </m:oMath>
                  </m:oMathPara>
                </a14:m>
                <a:endParaRPr lang="en-US" sz="1100"/>
              </a:p>
            </xdr:txBody>
          </xdr:sp>
        </mc:Choice>
        <mc:Fallback xmlns="">
          <xdr:sp macro="" textlink="">
            <xdr:nvSpPr>
              <xdr:cNvPr id="168" name="TextBox 167"/>
              <xdr:cNvSpPr txBox="1"/>
            </xdr:nvSpPr>
            <xdr:spPr>
              <a:xfrm rot="18931062">
                <a:off x="6005208" y="12204067"/>
                <a:ext cx="312570" cy="268042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100" b="0" i="0">
                    <a:latin typeface="Cambria Math" panose="02040503050406030204" pitchFamily="18" charset="0"/>
                  </a:rPr>
                  <a:t>𝑑_𝑏</a:t>
                </a:r>
                <a:endParaRPr lang="en-US" sz="1100"/>
              </a:p>
            </xdr:txBody>
          </xdr:sp>
        </mc:Fallback>
      </mc:AlternateContent>
    </xdr:grpSp>
    <xdr:clientData/>
  </xdr:twoCellAnchor>
  <xdr:twoCellAnchor>
    <xdr:from>
      <xdr:col>11</xdr:col>
      <xdr:colOff>4817</xdr:colOff>
      <xdr:row>101</xdr:row>
      <xdr:rowOff>7402</xdr:rowOff>
    </xdr:from>
    <xdr:to>
      <xdr:col>15</xdr:col>
      <xdr:colOff>209083</xdr:colOff>
      <xdr:row>111</xdr:row>
      <xdr:rowOff>1621</xdr:rowOff>
    </xdr:to>
    <xdr:grpSp>
      <xdr:nvGrpSpPr>
        <xdr:cNvPr id="171" name="Group 170"/>
        <xdr:cNvGrpSpPr/>
      </xdr:nvGrpSpPr>
      <xdr:grpSpPr>
        <a:xfrm>
          <a:off x="5049179" y="15927759"/>
          <a:ext cx="1224802" cy="1549321"/>
          <a:chOff x="6684027" y="4739160"/>
          <a:chExt cx="1223610" cy="1494528"/>
        </a:xfrm>
      </xdr:grpSpPr>
      <xdr:cxnSp macro="">
        <xdr:nvCxnSpPr>
          <xdr:cNvPr id="174" name="Straight Connector 173"/>
          <xdr:cNvCxnSpPr/>
        </xdr:nvCxnSpPr>
        <xdr:spPr>
          <a:xfrm flipH="1">
            <a:off x="7147809" y="4741298"/>
            <a:ext cx="534812" cy="50351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5" name="Straight Connector 174"/>
          <xdr:cNvCxnSpPr/>
        </xdr:nvCxnSpPr>
        <xdr:spPr>
          <a:xfrm flipH="1">
            <a:off x="7350105" y="4903818"/>
            <a:ext cx="556208" cy="52180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1" name="Straight Connector 190"/>
          <xdr:cNvCxnSpPr/>
        </xdr:nvCxnSpPr>
        <xdr:spPr>
          <a:xfrm flipH="1">
            <a:off x="6686361" y="4739160"/>
            <a:ext cx="998759" cy="919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2" name="Straight Connector 191"/>
          <xdr:cNvCxnSpPr/>
        </xdr:nvCxnSpPr>
        <xdr:spPr>
          <a:xfrm>
            <a:off x="7907636" y="4903960"/>
            <a:ext cx="0" cy="13202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3" name="Straight Connector 192"/>
          <xdr:cNvCxnSpPr/>
        </xdr:nvCxnSpPr>
        <xdr:spPr>
          <a:xfrm flipH="1">
            <a:off x="6691077" y="6224257"/>
            <a:ext cx="121656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4" name="Straight Connector 193"/>
          <xdr:cNvCxnSpPr/>
        </xdr:nvCxnSpPr>
        <xdr:spPr>
          <a:xfrm flipH="1" flipV="1">
            <a:off x="6684027" y="4748590"/>
            <a:ext cx="4763" cy="148509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mc:AlternateContent xmlns:mc="http://schemas.openxmlformats.org/markup-compatibility/2006" xmlns:a14="http://schemas.microsoft.com/office/drawing/2010/main">
        <mc:Choice Requires="a14">
          <xdr:sp macro="" textlink="">
            <xdr:nvSpPr>
              <xdr:cNvPr id="195" name="TextBox 194"/>
              <xdr:cNvSpPr txBox="1"/>
            </xdr:nvSpPr>
            <xdr:spPr>
              <a:xfrm>
                <a:off x="7017862" y="5228042"/>
                <a:ext cx="359740" cy="260177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pPr/>
                <a14:m>
                  <m:oMathPara xmlns:m="http://schemas.openxmlformats.org/officeDocument/2006/math">
                    <m:oMathParaPr>
                      <m:jc m:val="centerGroup"/>
                    </m:oMathParaPr>
                    <m:oMath xmlns:m="http://schemas.openxmlformats.org/officeDocument/2006/math">
                      <m:sSub>
                        <m:sSubPr>
                          <m:ctrlPr>
                            <a:rPr lang="en-US" sz="110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𝐴</m:t>
                          </m:r>
                        </m:e>
                        <m:sub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𝑡</m:t>
                          </m:r>
                        </m:sub>
                      </m:sSub>
                    </m:oMath>
                  </m:oMathPara>
                </a14:m>
                <a:endParaRPr lang="en-US" sz="1100"/>
              </a:p>
            </xdr:txBody>
          </xdr:sp>
        </mc:Choice>
        <mc:Fallback xmlns="">
          <xdr:sp macro="" textlink="">
            <xdr:nvSpPr>
              <xdr:cNvPr id="195" name="TextBox 194"/>
              <xdr:cNvSpPr txBox="1"/>
            </xdr:nvSpPr>
            <xdr:spPr>
              <a:xfrm>
                <a:off x="7017862" y="5228042"/>
                <a:ext cx="359740" cy="260177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100" b="0" i="0">
                    <a:latin typeface="Cambria Math" panose="02040503050406030204" pitchFamily="18" charset="0"/>
                  </a:rPr>
                  <a:t>𝐴_𝑡</a:t>
                </a:r>
                <a:endParaRPr lang="en-US" sz="1100"/>
              </a:p>
            </xdr:txBody>
          </xdr:sp>
        </mc:Fallback>
      </mc:AlternateContent>
    </xdr:grpSp>
    <xdr:clientData/>
  </xdr:twoCellAnchor>
  <xdr:twoCellAnchor>
    <xdr:from>
      <xdr:col>12</xdr:col>
      <xdr:colOff>245050</xdr:colOff>
      <xdr:row>104</xdr:row>
      <xdr:rowOff>62928</xdr:rowOff>
    </xdr:from>
    <xdr:to>
      <xdr:col>12</xdr:col>
      <xdr:colOff>456103</xdr:colOff>
      <xdr:row>105</xdr:row>
      <xdr:rowOff>90099</xdr:rowOff>
    </xdr:to>
    <xdr:cxnSp macro="">
      <xdr:nvCxnSpPr>
        <xdr:cNvPr id="196" name="Straight Connector 195"/>
        <xdr:cNvCxnSpPr/>
      </xdr:nvCxnSpPr>
      <xdr:spPr>
        <a:xfrm flipH="1" flipV="1">
          <a:off x="5509088" y="16032054"/>
          <a:ext cx="211053" cy="17889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231780</xdr:colOff>
      <xdr:row>101</xdr:row>
      <xdr:rowOff>115302</xdr:rowOff>
    </xdr:from>
    <xdr:to>
      <xdr:col>13</xdr:col>
      <xdr:colOff>59498</xdr:colOff>
      <xdr:row>103</xdr:row>
      <xdr:rowOff>74765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2" name="TextBox 201"/>
            <xdr:cNvSpPr txBox="1"/>
          </xdr:nvSpPr>
          <xdr:spPr>
            <a:xfrm>
              <a:off x="5496575" y="15760859"/>
              <a:ext cx="35977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02" name="TextBox 201"/>
            <xdr:cNvSpPr txBox="1"/>
          </xdr:nvSpPr>
          <xdr:spPr>
            <a:xfrm>
              <a:off x="5496575" y="15760859"/>
              <a:ext cx="35977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𝐴_𝑣</a:t>
              </a:r>
              <a:endParaRPr lang="en-US" sz="1100"/>
            </a:p>
          </xdr:txBody>
        </xdr:sp>
      </mc:Fallback>
    </mc:AlternateContent>
    <xdr:clientData/>
  </xdr:twoCellAnchor>
  <xdr:twoCellAnchor>
    <xdr:from>
      <xdr:col>12</xdr:col>
      <xdr:colOff>510684</xdr:colOff>
      <xdr:row>103</xdr:row>
      <xdr:rowOff>111433</xdr:rowOff>
    </xdr:from>
    <xdr:to>
      <xdr:col>15</xdr:col>
      <xdr:colOff>70511</xdr:colOff>
      <xdr:row>105</xdr:row>
      <xdr:rowOff>70895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3" name="TextBox 202"/>
            <xdr:cNvSpPr txBox="1"/>
          </xdr:nvSpPr>
          <xdr:spPr>
            <a:xfrm>
              <a:off x="5775479" y="16062087"/>
              <a:ext cx="35977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03" name="TextBox 202"/>
            <xdr:cNvSpPr txBox="1"/>
          </xdr:nvSpPr>
          <xdr:spPr>
            <a:xfrm>
              <a:off x="5775479" y="16062087"/>
              <a:ext cx="35977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𝐴_𝑣</a:t>
              </a:r>
              <a:endParaRPr lang="en-US" sz="1100"/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409575</xdr:colOff>
      <xdr:row>3</xdr:row>
      <xdr:rowOff>66675</xdr:rowOff>
    </xdr:from>
    <xdr:to>
      <xdr:col>20</xdr:col>
      <xdr:colOff>176933</xdr:colOff>
      <xdr:row>19</xdr:row>
      <xdr:rowOff>83840</xdr:rowOff>
    </xdr:to>
    <xdr:grpSp>
      <xdr:nvGrpSpPr>
        <xdr:cNvPr id="2" name="Group 35"/>
        <xdr:cNvGrpSpPr>
          <a:grpSpLocks/>
        </xdr:cNvGrpSpPr>
      </xdr:nvGrpSpPr>
      <xdr:grpSpPr bwMode="auto">
        <a:xfrm>
          <a:off x="8410575" y="590550"/>
          <a:ext cx="2434358" cy="2674640"/>
          <a:chOff x="750" y="35"/>
          <a:chExt cx="201" cy="308"/>
        </a:xfrm>
      </xdr:grpSpPr>
      <xdr:sp macro="" textlink="">
        <xdr:nvSpPr>
          <xdr:cNvPr id="3" name="Text Box 21"/>
          <xdr:cNvSpPr txBox="1">
            <a:spLocks noChangeArrowheads="1"/>
          </xdr:cNvSpPr>
        </xdr:nvSpPr>
        <xdr:spPr bwMode="auto">
          <a:xfrm>
            <a:off x="838" y="35"/>
            <a:ext cx="20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Y</a:t>
            </a:r>
          </a:p>
        </xdr:txBody>
      </xdr:sp>
      <xdr:sp macro="" textlink="">
        <xdr:nvSpPr>
          <xdr:cNvPr id="4" name="Line 1"/>
          <xdr:cNvSpPr>
            <a:spLocks noChangeShapeType="1"/>
          </xdr:cNvSpPr>
        </xdr:nvSpPr>
        <xdr:spPr bwMode="auto">
          <a:xfrm>
            <a:off x="826" y="121"/>
            <a:ext cx="0" cy="156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2"/>
          <xdr:cNvSpPr>
            <a:spLocks noChangeShapeType="1"/>
          </xdr:cNvSpPr>
        </xdr:nvSpPr>
        <xdr:spPr bwMode="auto">
          <a:xfrm>
            <a:off x="826" y="121"/>
            <a:ext cx="65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3"/>
          <xdr:cNvSpPr>
            <a:spLocks noChangeShapeType="1"/>
          </xdr:cNvSpPr>
        </xdr:nvSpPr>
        <xdr:spPr bwMode="auto">
          <a:xfrm>
            <a:off x="826" y="277"/>
            <a:ext cx="65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Line 4"/>
          <xdr:cNvSpPr>
            <a:spLocks noChangeShapeType="1"/>
          </xdr:cNvSpPr>
        </xdr:nvSpPr>
        <xdr:spPr bwMode="auto">
          <a:xfrm flipH="1">
            <a:off x="890" y="121"/>
            <a:ext cx="1" cy="5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" name="Line 5"/>
          <xdr:cNvSpPr>
            <a:spLocks noChangeShapeType="1"/>
          </xdr:cNvSpPr>
        </xdr:nvSpPr>
        <xdr:spPr bwMode="auto">
          <a:xfrm flipH="1">
            <a:off x="832" y="126"/>
            <a:ext cx="58" cy="4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6"/>
          <xdr:cNvSpPr>
            <a:spLocks noChangeShapeType="1"/>
          </xdr:cNvSpPr>
        </xdr:nvSpPr>
        <xdr:spPr bwMode="auto">
          <a:xfrm>
            <a:off x="832" y="129"/>
            <a:ext cx="0" cy="141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8"/>
          <xdr:cNvSpPr>
            <a:spLocks noChangeShapeType="1"/>
          </xdr:cNvSpPr>
        </xdr:nvSpPr>
        <xdr:spPr bwMode="auto">
          <a:xfrm flipH="1" flipV="1">
            <a:off x="832" y="269"/>
            <a:ext cx="58" cy="3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9"/>
          <xdr:cNvSpPr>
            <a:spLocks noChangeShapeType="1"/>
          </xdr:cNvSpPr>
        </xdr:nvSpPr>
        <xdr:spPr bwMode="auto">
          <a:xfrm>
            <a:off x="889" y="272"/>
            <a:ext cx="3" cy="5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10"/>
          <xdr:cNvSpPr>
            <a:spLocks noChangeShapeType="1"/>
          </xdr:cNvSpPr>
        </xdr:nvSpPr>
        <xdr:spPr bwMode="auto">
          <a:xfrm>
            <a:off x="826" y="108"/>
            <a:ext cx="64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sm" len="sm"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1"/>
          <xdr:cNvSpPr>
            <a:spLocks noChangeShapeType="1"/>
          </xdr:cNvSpPr>
        </xdr:nvSpPr>
        <xdr:spPr bwMode="auto">
          <a:xfrm flipV="1">
            <a:off x="911" y="123"/>
            <a:ext cx="0" cy="15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sm" len="sm"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2"/>
          <xdr:cNvSpPr>
            <a:spLocks noChangeShapeType="1"/>
          </xdr:cNvSpPr>
        </xdr:nvSpPr>
        <xdr:spPr bwMode="auto">
          <a:xfrm>
            <a:off x="861" y="257"/>
            <a:ext cx="0" cy="1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3"/>
          <xdr:cNvSpPr>
            <a:spLocks noChangeShapeType="1"/>
          </xdr:cNvSpPr>
        </xdr:nvSpPr>
        <xdr:spPr bwMode="auto">
          <a:xfrm flipV="1">
            <a:off x="861" y="276"/>
            <a:ext cx="0" cy="11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4"/>
          <xdr:cNvSpPr>
            <a:spLocks noChangeShapeType="1"/>
          </xdr:cNvSpPr>
        </xdr:nvSpPr>
        <xdr:spPr bwMode="auto">
          <a:xfrm flipH="1">
            <a:off x="831" y="230"/>
            <a:ext cx="1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5"/>
          <xdr:cNvSpPr>
            <a:spLocks noChangeShapeType="1"/>
          </xdr:cNvSpPr>
        </xdr:nvSpPr>
        <xdr:spPr bwMode="auto">
          <a:xfrm>
            <a:off x="817" y="230"/>
            <a:ext cx="9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Text Box 16"/>
          <xdr:cNvSpPr txBox="1">
            <a:spLocks noChangeArrowheads="1"/>
          </xdr:cNvSpPr>
        </xdr:nvSpPr>
        <xdr:spPr bwMode="auto">
          <a:xfrm>
            <a:off x="810" y="209"/>
            <a:ext cx="20" cy="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</a:t>
            </a:r>
            <a:r>
              <a:rPr 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w</a:t>
            </a:r>
          </a:p>
        </xdr:txBody>
      </xdr:sp>
      <xdr:sp macro="" textlink="">
        <xdr:nvSpPr>
          <xdr:cNvPr id="19" name="Text Box 17"/>
          <xdr:cNvSpPr txBox="1">
            <a:spLocks noChangeArrowheads="1"/>
          </xdr:cNvSpPr>
        </xdr:nvSpPr>
        <xdr:spPr bwMode="auto">
          <a:xfrm>
            <a:off x="864" y="248"/>
            <a:ext cx="20" cy="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</a:t>
            </a:r>
            <a:r>
              <a:rPr 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f</a:t>
            </a:r>
          </a:p>
        </xdr:txBody>
      </xdr:sp>
      <xdr:sp macro="" textlink="">
        <xdr:nvSpPr>
          <xdr:cNvPr id="20" name="Text Box 18"/>
          <xdr:cNvSpPr txBox="1">
            <a:spLocks noChangeArrowheads="1"/>
          </xdr:cNvSpPr>
        </xdr:nvSpPr>
        <xdr:spPr bwMode="auto">
          <a:xfrm>
            <a:off x="858" y="87"/>
            <a:ext cx="20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</a:t>
            </a:r>
          </a:p>
        </xdr:txBody>
      </xdr:sp>
      <xdr:sp macro="" textlink="">
        <xdr:nvSpPr>
          <xdr:cNvPr id="21" name="Text Box 19"/>
          <xdr:cNvSpPr txBox="1">
            <a:spLocks noChangeArrowheads="1"/>
          </xdr:cNvSpPr>
        </xdr:nvSpPr>
        <xdr:spPr bwMode="auto">
          <a:xfrm>
            <a:off x="911" y="162"/>
            <a:ext cx="20" cy="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</a:t>
            </a:r>
          </a:p>
        </xdr:txBody>
      </xdr:sp>
      <xdr:sp macro="" textlink="">
        <xdr:nvSpPr>
          <xdr:cNvPr id="22" name="Line 20"/>
          <xdr:cNvSpPr>
            <a:spLocks noChangeShapeType="1"/>
          </xdr:cNvSpPr>
        </xdr:nvSpPr>
        <xdr:spPr bwMode="auto">
          <a:xfrm>
            <a:off x="846" y="54"/>
            <a:ext cx="2" cy="26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840" y="322"/>
            <a:ext cx="20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Y</a:t>
            </a:r>
          </a:p>
        </xdr:txBody>
      </xdr:sp>
      <xdr:sp macro="" textlink="">
        <xdr:nvSpPr>
          <xdr:cNvPr id="24" name="Line 23"/>
          <xdr:cNvSpPr>
            <a:spLocks noChangeShapeType="1"/>
          </xdr:cNvSpPr>
        </xdr:nvSpPr>
        <xdr:spPr bwMode="auto">
          <a:xfrm>
            <a:off x="769" y="199"/>
            <a:ext cx="162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Text Box 24"/>
          <xdr:cNvSpPr txBox="1">
            <a:spLocks noChangeArrowheads="1"/>
          </xdr:cNvSpPr>
        </xdr:nvSpPr>
        <xdr:spPr bwMode="auto">
          <a:xfrm>
            <a:off x="931" y="187"/>
            <a:ext cx="20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X</a:t>
            </a:r>
          </a:p>
        </xdr:txBody>
      </xdr:sp>
      <xdr:sp macro="" textlink="">
        <xdr:nvSpPr>
          <xdr:cNvPr id="26" name="Text Box 25"/>
          <xdr:cNvSpPr txBox="1">
            <a:spLocks noChangeArrowheads="1"/>
          </xdr:cNvSpPr>
        </xdr:nvSpPr>
        <xdr:spPr bwMode="auto">
          <a:xfrm>
            <a:off x="750" y="188"/>
            <a:ext cx="20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X</a:t>
            </a:r>
          </a:p>
        </xdr:txBody>
      </xdr:sp>
      <xdr:sp macro="" textlink="">
        <xdr:nvSpPr>
          <xdr:cNvPr id="27" name="Line 26"/>
          <xdr:cNvSpPr>
            <a:spLocks noChangeShapeType="1"/>
          </xdr:cNvSpPr>
        </xdr:nvSpPr>
        <xdr:spPr bwMode="auto">
          <a:xfrm>
            <a:off x="828" y="286"/>
            <a:ext cx="19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sm" len="sm"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Text Box 27"/>
          <xdr:cNvSpPr txBox="1">
            <a:spLocks noChangeArrowheads="1"/>
          </xdr:cNvSpPr>
        </xdr:nvSpPr>
        <xdr:spPr bwMode="auto">
          <a:xfrm>
            <a:off x="825" y="282"/>
            <a:ext cx="20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x</a:t>
            </a:r>
            <a:r>
              <a:rPr lang="en-US" sz="5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</a:t>
            </a:r>
          </a:p>
        </xdr:txBody>
      </xdr:sp>
      <xdr:sp macro="" textlink="">
        <xdr:nvSpPr>
          <xdr:cNvPr id="29" name="Line 31"/>
          <xdr:cNvSpPr>
            <a:spLocks noChangeShapeType="1"/>
          </xdr:cNvSpPr>
        </xdr:nvSpPr>
        <xdr:spPr bwMode="auto">
          <a:xfrm>
            <a:off x="797" y="199"/>
            <a:ext cx="10" cy="0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32"/>
          <xdr:cNvSpPr>
            <a:spLocks noChangeShapeType="1"/>
          </xdr:cNvSpPr>
        </xdr:nvSpPr>
        <xdr:spPr bwMode="auto">
          <a:xfrm>
            <a:off x="802" y="194"/>
            <a:ext cx="0" cy="9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33"/>
          <xdr:cNvSpPr>
            <a:spLocks noChangeShapeType="1"/>
          </xdr:cNvSpPr>
        </xdr:nvSpPr>
        <xdr:spPr bwMode="auto">
          <a:xfrm>
            <a:off x="800" y="184"/>
            <a:ext cx="46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sm" len="sm"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Text Box 34"/>
          <xdr:cNvSpPr txBox="1">
            <a:spLocks noChangeArrowheads="1"/>
          </xdr:cNvSpPr>
        </xdr:nvSpPr>
        <xdr:spPr bwMode="auto">
          <a:xfrm>
            <a:off x="803" y="165"/>
            <a:ext cx="20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</a:t>
            </a:r>
            <a:r>
              <a:rPr lang="en-US" sz="7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y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id="1" name="CPA" displayName="CPA" ref="A1:N11" totalsRowShown="0" headerRowDxfId="33" dataDxfId="32" tableBorderDxfId="31" headerRowCellStyle="Normal 2" dataCellStyle="Normal 2">
  <tableColumns count="14">
    <tableColumn id="1" name="Section" dataDxfId="30" dataCellStyle="Normal 2"/>
    <tableColumn id="2" name="d" dataDxfId="29" dataCellStyle="Normal 2"/>
    <tableColumn id="3" name="bf" dataDxfId="28" dataCellStyle="Normal 2"/>
    <tableColumn id="4" name="tf" dataDxfId="27" dataCellStyle="Normal 2"/>
    <tableColumn id="5" name="tw" dataDxfId="26" dataCellStyle="Normal 2"/>
    <tableColumn id="6" name="ey" dataDxfId="25" dataCellStyle="Normal 2"/>
    <tableColumn id="7" name="A" dataDxfId="24" dataCellStyle="Normal 2"/>
    <tableColumn id="8" name="Ixx" dataDxfId="23" dataCellStyle="Normal 2"/>
    <tableColumn id="9" name="Iyy" dataDxfId="22" dataCellStyle="Normal 2"/>
    <tableColumn id="10" name="Sxx" dataDxfId="21" dataCellStyle="Normal 2"/>
    <tableColumn id="11" name="Syy" dataDxfId="20" dataCellStyle="Normal 2"/>
    <tableColumn id="12" name="rxx" dataDxfId="19" dataCellStyle="Normal 2"/>
    <tableColumn id="13" name="ryy" dataDxfId="18" dataCellStyle="Normal 2"/>
    <tableColumn id="14" name="xm" dataDxfId="17" dataCellStyle="Normal 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UNP" displayName="UNP" ref="A13:N23" totalsRowShown="0" headerRowDxfId="16" dataDxfId="15" tableBorderDxfId="14" headerRowCellStyle="Normal 2" dataCellStyle="Normal 3">
  <tableColumns count="14">
    <tableColumn id="1" name="Section" dataDxfId="13" dataCellStyle="Normal 2"/>
    <tableColumn id="2" name="d" dataDxfId="12" dataCellStyle="Normal 2"/>
    <tableColumn id="3" name="bf" dataDxfId="11" dataCellStyle="Normal 3"/>
    <tableColumn id="4" name="tf" dataDxfId="10" dataCellStyle="Normal 3"/>
    <tableColumn id="5" name="tw" dataDxfId="9" dataCellStyle="Normal 3"/>
    <tableColumn id="6" name="ey" dataDxfId="8" dataCellStyle="Normal 3"/>
    <tableColumn id="7" name="A" dataDxfId="7" dataCellStyle="Normal 3"/>
    <tableColumn id="8" name="Ixx" dataDxfId="6" dataCellStyle="Normal 3"/>
    <tableColumn id="9" name="Iyy" dataDxfId="5" dataCellStyle="Normal 3"/>
    <tableColumn id="10" name="Sxx" dataDxfId="4" dataCellStyle="Normal 3"/>
    <tableColumn id="11" name="Syy" dataDxfId="3" dataCellStyle="Normal 3"/>
    <tableColumn id="12" name="rxx" dataDxfId="2" dataCellStyle="Normal 3"/>
    <tableColumn id="13" name="ryy" dataDxfId="1" dataCellStyle="Normal 3"/>
    <tableColumn id="14" name="xm" dataDxfId="0" dataCellStyle="Normal 3"/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manrezaee35@yahoo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AR130"/>
  <sheetViews>
    <sheetView tabSelected="1" topLeftCell="A22" zoomScale="118" zoomScaleNormal="118" workbookViewId="0">
      <selection activeCell="D8" sqref="D8"/>
    </sheetView>
  </sheetViews>
  <sheetFormatPr defaultRowHeight="12"/>
  <cols>
    <col min="1" max="1" width="4.1640625" style="14" customWidth="1"/>
    <col min="2" max="2" width="3.6640625" style="14" customWidth="1"/>
    <col min="3" max="3" width="8" style="14" customWidth="1"/>
    <col min="4" max="4" width="7" style="14" customWidth="1"/>
    <col min="5" max="5" width="7.83203125" style="14" customWidth="1"/>
    <col min="6" max="6" width="7" style="14" customWidth="1"/>
    <col min="7" max="7" width="6.83203125" style="14" customWidth="1"/>
    <col min="8" max="8" width="7.6640625" style="14" customWidth="1"/>
    <col min="9" max="9" width="7" style="14" customWidth="1"/>
    <col min="10" max="10" width="8" style="14" customWidth="1"/>
    <col min="11" max="11" width="7.83203125" style="14" customWidth="1"/>
    <col min="12" max="12" width="7.5" style="14" customWidth="1"/>
    <col min="13" max="13" width="7.6640625" style="14" customWidth="1"/>
    <col min="14" max="14" width="8.83203125" style="14" customWidth="1"/>
    <col min="15" max="16384" width="9.33203125" style="14"/>
  </cols>
  <sheetData>
    <row r="1" spans="2:44">
      <c r="B1" s="176" t="s">
        <v>0</v>
      </c>
      <c r="C1" s="177"/>
      <c r="D1" s="177"/>
      <c r="E1" s="177"/>
      <c r="F1" s="177"/>
      <c r="G1" s="177"/>
      <c r="H1" s="177"/>
      <c r="I1" s="177"/>
      <c r="J1" s="178"/>
      <c r="K1" s="182" t="s">
        <v>1</v>
      </c>
      <c r="L1" s="183"/>
      <c r="M1" s="184" t="s">
        <v>2</v>
      </c>
      <c r="N1" s="185"/>
      <c r="O1" s="186"/>
      <c r="P1" s="187" t="s">
        <v>3</v>
      </c>
      <c r="Q1" s="188"/>
      <c r="S1" s="17"/>
      <c r="T1" s="17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 t="s">
        <v>87</v>
      </c>
      <c r="AG1" s="73" t="s">
        <v>50</v>
      </c>
      <c r="AH1" s="73" t="s">
        <v>84</v>
      </c>
      <c r="AI1" s="19" t="s">
        <v>45</v>
      </c>
      <c r="AJ1" s="19" t="s">
        <v>46</v>
      </c>
      <c r="AK1" s="19" t="s">
        <v>47</v>
      </c>
      <c r="AL1" s="19" t="s">
        <v>48</v>
      </c>
      <c r="AM1" s="12" t="s">
        <v>49</v>
      </c>
      <c r="AN1" s="17"/>
      <c r="AO1" s="15"/>
      <c r="AP1" s="19" t="s">
        <v>24</v>
      </c>
      <c r="AQ1" s="19">
        <v>1</v>
      </c>
      <c r="AR1" s="17">
        <v>80</v>
      </c>
    </row>
    <row r="2" spans="2:44" ht="12.75" thickBot="1">
      <c r="B2" s="179"/>
      <c r="C2" s="180"/>
      <c r="D2" s="180"/>
      <c r="E2" s="180"/>
      <c r="F2" s="180"/>
      <c r="G2" s="180"/>
      <c r="H2" s="180"/>
      <c r="I2" s="180"/>
      <c r="J2" s="181"/>
      <c r="K2" s="189" t="s">
        <v>4</v>
      </c>
      <c r="L2" s="190"/>
      <c r="M2" s="191"/>
      <c r="N2" s="192"/>
      <c r="O2" s="193"/>
      <c r="P2" s="194">
        <v>1</v>
      </c>
      <c r="Q2" s="195"/>
      <c r="S2" s="17"/>
      <c r="T2" s="17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>
        <f>VLOOKUP(no,IF(type="CPA",CPA[],UNP[]),13,FALSE)</f>
        <v>1.59</v>
      </c>
      <c r="AG2" s="73" t="s">
        <v>51</v>
      </c>
      <c r="AH2" s="73" t="s">
        <v>85</v>
      </c>
      <c r="AI2" s="19">
        <f>VLOOKUP(no,IF(type="CPA",CPA[],UNP[]),7,FALSE)</f>
        <v>17</v>
      </c>
      <c r="AJ2" s="19">
        <f>VLOOKUP(no,IF(type="CPA",CPA[],UNP[]),9,FALSE)</f>
        <v>43.2</v>
      </c>
      <c r="AK2" s="19">
        <f>VLOOKUP(no,IF(type="CPA",CPA[],UNP[]),6,FALSE)</f>
        <v>1.6</v>
      </c>
      <c r="AL2" s="19">
        <f>H8</f>
        <v>5.5</v>
      </c>
      <c r="AM2" s="12">
        <f>Q8</f>
        <v>3.03</v>
      </c>
      <c r="AN2" s="18">
        <f>(((AL2-AK2)+0.5))^2</f>
        <v>19.360000000000003</v>
      </c>
      <c r="AO2" s="15"/>
      <c r="AP2" s="19" t="s">
        <v>29</v>
      </c>
      <c r="AQ2" s="19">
        <v>2</v>
      </c>
      <c r="AR2" s="17">
        <v>100</v>
      </c>
    </row>
    <row r="3" spans="2:44">
      <c r="B3" s="198" t="s">
        <v>8</v>
      </c>
      <c r="C3" s="199"/>
      <c r="D3" s="202"/>
      <c r="E3" s="202"/>
      <c r="F3" s="202"/>
      <c r="G3" s="202"/>
      <c r="H3" s="202"/>
      <c r="I3" s="202"/>
      <c r="J3" s="203"/>
      <c r="K3" s="189" t="s">
        <v>5</v>
      </c>
      <c r="L3" s="190"/>
      <c r="M3" s="206"/>
      <c r="N3" s="207"/>
      <c r="O3" s="208"/>
      <c r="P3" s="196"/>
      <c r="Q3" s="19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5"/>
      <c r="AP3" s="17"/>
      <c r="AQ3" s="19">
        <v>3</v>
      </c>
      <c r="AR3" s="17">
        <v>120</v>
      </c>
    </row>
    <row r="4" spans="2:44" ht="12.75" thickBot="1">
      <c r="B4" s="200"/>
      <c r="C4" s="201"/>
      <c r="D4" s="204"/>
      <c r="E4" s="204"/>
      <c r="F4" s="204"/>
      <c r="G4" s="204"/>
      <c r="H4" s="204"/>
      <c r="I4" s="204"/>
      <c r="J4" s="205"/>
      <c r="K4" s="209" t="s">
        <v>6</v>
      </c>
      <c r="L4" s="210"/>
      <c r="M4" s="206"/>
      <c r="N4" s="207"/>
      <c r="O4" s="208"/>
      <c r="P4" s="211" t="s">
        <v>7</v>
      </c>
      <c r="Q4" s="212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>
        <f>2*(AJ2+(AI2*AN2))</f>
        <v>744.6400000000001</v>
      </c>
      <c r="AM4" s="17"/>
      <c r="AN4" s="17"/>
      <c r="AO4" s="15"/>
      <c r="AP4" s="17"/>
      <c r="AQ4" s="19">
        <v>4</v>
      </c>
      <c r="AR4" s="17">
        <v>140</v>
      </c>
    </row>
    <row r="5" spans="2:44">
      <c r="B5" s="167" t="s">
        <v>9</v>
      </c>
      <c r="C5" s="168"/>
      <c r="D5" s="168"/>
      <c r="E5" s="168"/>
      <c r="F5" s="168"/>
      <c r="G5" s="168"/>
      <c r="H5" s="168"/>
      <c r="I5" s="168"/>
      <c r="J5" s="169"/>
      <c r="K5" s="161" t="s">
        <v>53</v>
      </c>
      <c r="L5" s="162"/>
      <c r="M5" s="162"/>
      <c r="N5" s="162"/>
      <c r="O5" s="162"/>
      <c r="P5" s="162"/>
      <c r="Q5" s="163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5"/>
      <c r="AP5" s="17"/>
      <c r="AQ5" s="17"/>
      <c r="AR5" s="17">
        <v>160</v>
      </c>
    </row>
    <row r="6" spans="2:44" ht="12.75" thickBot="1">
      <c r="B6" s="170"/>
      <c r="C6" s="171"/>
      <c r="D6" s="171"/>
      <c r="E6" s="171"/>
      <c r="F6" s="171"/>
      <c r="G6" s="171"/>
      <c r="H6" s="171"/>
      <c r="I6" s="171"/>
      <c r="J6" s="172"/>
      <c r="K6" s="164"/>
      <c r="L6" s="165"/>
      <c r="M6" s="165"/>
      <c r="N6" s="165"/>
      <c r="O6" s="165"/>
      <c r="P6" s="165"/>
      <c r="Q6" s="166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5"/>
      <c r="AP6" s="17"/>
      <c r="AQ6" s="17"/>
      <c r="AR6" s="17">
        <v>180</v>
      </c>
    </row>
    <row r="7" spans="2:44">
      <c r="B7" s="27" t="s">
        <v>30</v>
      </c>
      <c r="C7" s="74" t="s">
        <v>10</v>
      </c>
      <c r="D7" s="74" t="s">
        <v>31</v>
      </c>
      <c r="E7" s="28" t="s">
        <v>32</v>
      </c>
      <c r="F7" s="28" t="s">
        <v>33</v>
      </c>
      <c r="G7" s="28" t="s">
        <v>34</v>
      </c>
      <c r="H7" s="28" t="s">
        <v>35</v>
      </c>
      <c r="I7" s="28" t="s">
        <v>36</v>
      </c>
      <c r="J7" s="28" t="s">
        <v>37</v>
      </c>
      <c r="K7" s="28" t="s">
        <v>38</v>
      </c>
      <c r="L7" s="28" t="s">
        <v>39</v>
      </c>
      <c r="M7" s="28" t="s">
        <v>40</v>
      </c>
      <c r="N7" s="28" t="s">
        <v>42</v>
      </c>
      <c r="O7" s="28" t="s">
        <v>41</v>
      </c>
      <c r="P7" s="28" t="s">
        <v>43</v>
      </c>
      <c r="Q7" s="29" t="s">
        <v>44</v>
      </c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5"/>
      <c r="AP7" s="17"/>
      <c r="AQ7" s="17"/>
      <c r="AR7" s="17">
        <v>200</v>
      </c>
    </row>
    <row r="8" spans="2:44">
      <c r="B8" s="81">
        <v>2</v>
      </c>
      <c r="C8" s="82" t="s">
        <v>29</v>
      </c>
      <c r="D8" s="82">
        <v>120</v>
      </c>
      <c r="E8" s="25">
        <f>VLOOKUP(no,IF(type="CPA",CPA[],UNP[]),7,FALSE)*B8</f>
        <v>34</v>
      </c>
      <c r="F8" s="25">
        <f>VLOOKUP(no,IF(type="CPA",CPA[],UNP[]),2,FALSE)</f>
        <v>12</v>
      </c>
      <c r="G8" s="25">
        <f>VLOOKUP(no,IF(type="CPA",CPA[],UNP[]),5,FALSE)</f>
        <v>0.7</v>
      </c>
      <c r="H8" s="25">
        <f>VLOOKUP(no,IF(type="CPA",CPA[],UNP[]),3,FALSE)</f>
        <v>5.5</v>
      </c>
      <c r="I8" s="25">
        <f>VLOOKUP(no,IF(type="CPA",CPA[],UNP[]),4,FALSE)</f>
        <v>0.9</v>
      </c>
      <c r="J8" s="25">
        <f>VLOOKUP(no,IF(type="CPA",CPA[],UNP[]),8,FALSE)*B8</f>
        <v>728</v>
      </c>
      <c r="K8" s="30">
        <f>IF(B8&lt;=1,VLOOKUP(no,IF(type="CPA",CPA[],UNP[]),10,FALSE),(2*J8)/F8)</f>
        <v>121.33333333333333</v>
      </c>
      <c r="L8" s="25">
        <f>VLOOKUP(no,IF(type="CPA",CPA[],UNP[]),12,FALSE)</f>
        <v>4.62</v>
      </c>
      <c r="M8" s="25">
        <f>IF(B8&lt;=1,VLOOKUP(no,IF(type="CPA",CPA[],UNP[]),9,FALSE),AL4)</f>
        <v>744.6400000000001</v>
      </c>
      <c r="N8" s="30">
        <f>IF(B8&lt;=1,VLOOKUP(no,IF(type="CPA",CPA[],UNP[]),11,FALSE),M8/(H8+0.5))</f>
        <v>124.10666666666668</v>
      </c>
      <c r="O8" s="30">
        <f>IF(B8&lt;=1,VLOOKUP(no,IF(type="CPA",CPA[],UNP[]),13,FALSE),SQRT(M8/E8))</f>
        <v>4.6798692792201191</v>
      </c>
      <c r="P8" s="25">
        <f>VLOOKUP(no,IF(type="CPA",CPA[],UNP[]),6,FALSE)</f>
        <v>1.6</v>
      </c>
      <c r="Q8" s="31">
        <f>VLOOKUP(no,IF(type="CPA",CPA[],UNP[]),14,FALSE)</f>
        <v>3.03</v>
      </c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5"/>
      <c r="AP8" s="17"/>
      <c r="AQ8" s="17"/>
      <c r="AR8" s="17">
        <v>220</v>
      </c>
    </row>
    <row r="9" spans="2:44">
      <c r="B9" s="32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3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5"/>
      <c r="AP9" s="17"/>
      <c r="AQ9" s="17"/>
      <c r="AR9" s="17">
        <v>240</v>
      </c>
    </row>
    <row r="10" spans="2:44">
      <c r="B10" s="38"/>
      <c r="C10" s="39"/>
      <c r="D10" s="39"/>
      <c r="E10" s="39"/>
      <c r="F10" s="39"/>
      <c r="G10" s="39"/>
      <c r="H10" s="39"/>
      <c r="I10" s="39"/>
      <c r="J10" s="40"/>
      <c r="K10" s="40"/>
      <c r="L10" s="40"/>
      <c r="M10" s="40"/>
      <c r="N10" s="40"/>
      <c r="O10" s="40"/>
      <c r="P10" s="40"/>
      <c r="Q10" s="33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5"/>
    </row>
    <row r="11" spans="2:44">
      <c r="B11" s="38"/>
      <c r="C11" s="39"/>
      <c r="D11" s="75" t="s">
        <v>63</v>
      </c>
      <c r="E11" s="83">
        <v>31776</v>
      </c>
      <c r="F11" s="76"/>
      <c r="G11" s="173" t="s">
        <v>65</v>
      </c>
      <c r="H11" s="173"/>
      <c r="I11" s="173"/>
      <c r="J11" s="40"/>
      <c r="K11" s="40"/>
      <c r="L11" s="40"/>
      <c r="M11" s="40"/>
      <c r="N11" s="40"/>
      <c r="O11" s="40"/>
      <c r="P11" s="40"/>
      <c r="Q11" s="33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5"/>
    </row>
    <row r="12" spans="2:44">
      <c r="B12" s="38"/>
      <c r="C12" s="39"/>
      <c r="D12" s="70" t="s">
        <v>64</v>
      </c>
      <c r="E12" s="84">
        <v>34364</v>
      </c>
      <c r="F12" s="76"/>
      <c r="G12" s="173" t="s">
        <v>66</v>
      </c>
      <c r="H12" s="173"/>
      <c r="I12" s="173"/>
      <c r="J12" s="40"/>
      <c r="K12" s="40"/>
      <c r="L12" s="40"/>
      <c r="M12" s="40"/>
      <c r="N12" s="40"/>
      <c r="O12" s="40"/>
      <c r="P12" s="40"/>
      <c r="Q12" s="33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5"/>
    </row>
    <row r="13" spans="2:44">
      <c r="B13" s="38"/>
      <c r="C13" s="39"/>
      <c r="D13" s="39"/>
      <c r="E13" s="39"/>
      <c r="F13" s="39"/>
      <c r="G13" s="39"/>
      <c r="H13" s="39"/>
      <c r="I13" s="39"/>
      <c r="J13" s="40"/>
      <c r="K13" s="40"/>
      <c r="L13" s="40"/>
      <c r="M13" s="40"/>
      <c r="N13" s="40"/>
      <c r="O13" s="40"/>
      <c r="P13" s="40"/>
      <c r="Q13" s="33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5"/>
    </row>
    <row r="14" spans="2:44">
      <c r="B14" s="38"/>
      <c r="C14" s="175" t="s">
        <v>50</v>
      </c>
      <c r="D14" s="175"/>
      <c r="E14" s="145">
        <f>IF(C14="Fy(St37)=",2400,3700)</f>
        <v>2400</v>
      </c>
      <c r="F14" s="145"/>
      <c r="G14" s="173" t="s">
        <v>56</v>
      </c>
      <c r="H14" s="173"/>
      <c r="I14" s="173"/>
      <c r="J14" s="40"/>
      <c r="K14" s="40"/>
      <c r="L14" s="40"/>
      <c r="M14" s="40"/>
      <c r="N14" s="40"/>
      <c r="O14" s="40"/>
      <c r="P14" s="40"/>
      <c r="Q14" s="33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5"/>
    </row>
    <row r="15" spans="2:44">
      <c r="B15" s="38"/>
      <c r="C15" s="175" t="str">
        <f>IF(E14=2400,"Fu(St37)=","Fu(St52)=")</f>
        <v>Fu(St37)=</v>
      </c>
      <c r="D15" s="175"/>
      <c r="E15" s="145">
        <f>IF(C14="Fy(St37)=",3700,5200)</f>
        <v>3700</v>
      </c>
      <c r="F15" s="145"/>
      <c r="G15" s="39"/>
      <c r="H15" s="39"/>
      <c r="I15" s="39"/>
      <c r="J15" s="40"/>
      <c r="K15" s="40"/>
      <c r="L15" s="40"/>
      <c r="M15" s="40"/>
      <c r="N15" s="40"/>
      <c r="O15" s="40"/>
      <c r="P15" s="40"/>
      <c r="Q15" s="33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5"/>
    </row>
    <row r="16" spans="2:44">
      <c r="B16" s="38"/>
      <c r="C16" s="175" t="s">
        <v>52</v>
      </c>
      <c r="D16" s="175"/>
      <c r="E16" s="175"/>
      <c r="F16" s="59"/>
      <c r="G16" s="173" t="s">
        <v>57</v>
      </c>
      <c r="H16" s="173"/>
      <c r="I16" s="173"/>
      <c r="J16" s="40"/>
      <c r="K16" s="40"/>
      <c r="L16" s="40"/>
      <c r="M16" s="40"/>
      <c r="N16" s="40"/>
      <c r="O16" s="40"/>
      <c r="P16" s="40"/>
      <c r="Q16" s="33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5"/>
    </row>
    <row r="17" spans="2:41">
      <c r="B17" s="38"/>
      <c r="C17" s="34"/>
      <c r="D17" s="78" t="s">
        <v>54</v>
      </c>
      <c r="E17" s="85">
        <v>364</v>
      </c>
      <c r="F17" s="36"/>
      <c r="G17" s="173" t="s">
        <v>58</v>
      </c>
      <c r="H17" s="173"/>
      <c r="I17" s="173"/>
      <c r="J17" s="40"/>
      <c r="K17" s="40"/>
      <c r="L17" s="40"/>
      <c r="M17" s="40"/>
      <c r="N17" s="40"/>
      <c r="O17" s="40"/>
      <c r="P17" s="40"/>
      <c r="Q17" s="33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5"/>
    </row>
    <row r="18" spans="2:41">
      <c r="B18" s="38"/>
      <c r="C18" s="34"/>
      <c r="D18" s="78" t="s">
        <v>55</v>
      </c>
      <c r="E18" s="85">
        <v>395</v>
      </c>
      <c r="F18" s="36"/>
      <c r="G18" s="173" t="s">
        <v>59</v>
      </c>
      <c r="H18" s="173"/>
      <c r="I18" s="173"/>
      <c r="J18" s="40"/>
      <c r="K18" s="40"/>
      <c r="L18" s="40"/>
      <c r="M18" s="40"/>
      <c r="N18" s="40"/>
      <c r="O18" s="40"/>
      <c r="P18" s="40"/>
      <c r="Q18" s="33"/>
      <c r="R18" s="17"/>
      <c r="S18" s="17" t="s">
        <v>72</v>
      </c>
      <c r="T18" s="17">
        <f>SQRT(2100000/E14)*4.71</f>
        <v>139.32367889199597</v>
      </c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5"/>
    </row>
    <row r="19" spans="2:41">
      <c r="B19" s="38"/>
      <c r="C19" s="34"/>
      <c r="D19" s="80"/>
      <c r="E19" s="36"/>
      <c r="F19" s="36"/>
      <c r="G19" s="40"/>
      <c r="H19" s="39"/>
      <c r="I19" s="39"/>
      <c r="J19" s="40"/>
      <c r="K19" s="40"/>
      <c r="L19" s="40"/>
      <c r="M19" s="40"/>
      <c r="N19" s="40"/>
      <c r="O19" s="40"/>
      <c r="P19" s="40"/>
      <c r="Q19" s="33"/>
      <c r="R19" s="17"/>
      <c r="S19" s="20" t="s">
        <v>73</v>
      </c>
      <c r="T19" s="17">
        <f>0.44*E14</f>
        <v>1056</v>
      </c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5"/>
    </row>
    <row r="20" spans="2:41">
      <c r="B20" s="38"/>
      <c r="C20" s="34"/>
      <c r="D20" s="35"/>
      <c r="E20" s="36"/>
      <c r="F20" s="37">
        <f>SQRT((E17^2)+(E18^2))</f>
        <v>537.14150835696921</v>
      </c>
      <c r="G20" s="173" t="s">
        <v>60</v>
      </c>
      <c r="H20" s="173"/>
      <c r="I20" s="173"/>
      <c r="J20" s="40"/>
      <c r="K20" s="40"/>
      <c r="L20" s="40"/>
      <c r="M20" s="40"/>
      <c r="N20" s="40"/>
      <c r="O20" s="40"/>
      <c r="P20" s="40"/>
      <c r="Q20" s="33"/>
      <c r="R20" s="21" t="s">
        <v>74</v>
      </c>
      <c r="S20" s="21"/>
      <c r="T20" s="17">
        <f>(0.658^(E14/D35))*E14</f>
        <v>1755.2506513145363</v>
      </c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5"/>
    </row>
    <row r="21" spans="2:41">
      <c r="B21" s="38"/>
      <c r="C21" s="34"/>
      <c r="D21" s="36"/>
      <c r="E21" s="36"/>
      <c r="F21" s="36"/>
      <c r="G21" s="40"/>
      <c r="H21" s="39"/>
      <c r="I21" s="39"/>
      <c r="J21" s="40"/>
      <c r="K21" s="40"/>
      <c r="L21" s="40"/>
      <c r="M21" s="40"/>
      <c r="N21" s="40"/>
      <c r="O21" s="40"/>
      <c r="P21" s="40"/>
      <c r="Q21" s="33"/>
      <c r="R21" s="17"/>
      <c r="S21" s="17" t="s">
        <v>75</v>
      </c>
      <c r="T21" s="17">
        <f>0.877*D35</f>
        <v>2815.8697948422364</v>
      </c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5"/>
    </row>
    <row r="22" spans="2:41">
      <c r="B22" s="38"/>
      <c r="C22" s="39"/>
      <c r="D22" s="39"/>
      <c r="E22" s="39"/>
      <c r="F22" s="39"/>
      <c r="G22" s="39"/>
      <c r="H22" s="39"/>
      <c r="I22" s="40"/>
      <c r="J22" s="40"/>
      <c r="K22" s="40"/>
      <c r="L22" s="40"/>
      <c r="M22" s="40"/>
      <c r="N22" s="40"/>
      <c r="O22" s="40"/>
      <c r="P22" s="40"/>
      <c r="Q22" s="33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5"/>
    </row>
    <row r="23" spans="2:41">
      <c r="B23" s="38"/>
      <c r="C23" s="34"/>
      <c r="D23" s="78" t="s">
        <v>61</v>
      </c>
      <c r="E23" s="86">
        <v>0.5</v>
      </c>
      <c r="F23" s="36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33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5"/>
    </row>
    <row r="24" spans="2:41">
      <c r="B24" s="38"/>
      <c r="C24" s="80"/>
      <c r="D24" s="78" t="s">
        <v>62</v>
      </c>
      <c r="E24" s="86">
        <v>0.7</v>
      </c>
      <c r="F24" s="36"/>
      <c r="G24" s="40"/>
      <c r="H24" s="39"/>
      <c r="I24" s="40"/>
      <c r="J24" s="40"/>
      <c r="K24" s="40"/>
      <c r="L24" s="40"/>
      <c r="M24" s="40"/>
      <c r="N24" s="40"/>
      <c r="O24" s="40"/>
      <c r="P24" s="40"/>
      <c r="Q24" s="33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5"/>
    </row>
    <row r="25" spans="2:41">
      <c r="B25" s="38"/>
      <c r="C25" s="39"/>
      <c r="D25" s="39"/>
      <c r="E25" s="39"/>
      <c r="F25" s="39"/>
      <c r="G25" s="39"/>
      <c r="H25" s="39"/>
      <c r="I25" s="40"/>
      <c r="J25" s="40"/>
      <c r="K25" s="40"/>
      <c r="L25" s="40"/>
      <c r="M25" s="40"/>
      <c r="N25" s="40"/>
      <c r="O25" s="40"/>
      <c r="P25" s="40"/>
      <c r="Q25" s="33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5"/>
    </row>
    <row r="26" spans="2:41" ht="12.75" thickBot="1">
      <c r="B26" s="38"/>
      <c r="C26" s="39"/>
      <c r="D26" s="39"/>
      <c r="E26" s="39"/>
      <c r="F26" s="39"/>
      <c r="G26" s="39"/>
      <c r="H26" s="39"/>
      <c r="I26" s="40"/>
      <c r="J26" s="40"/>
      <c r="K26" s="40"/>
      <c r="L26" s="40"/>
      <c r="M26" s="40"/>
      <c r="N26" s="40"/>
      <c r="O26" s="40"/>
      <c r="P26" s="40"/>
      <c r="Q26" s="33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5"/>
    </row>
    <row r="27" spans="2:41" ht="12.75" thickBot="1">
      <c r="B27" s="150" t="s">
        <v>71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2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5"/>
    </row>
    <row r="28" spans="2:41">
      <c r="B28" s="38"/>
      <c r="C28" s="39"/>
      <c r="D28" s="39"/>
      <c r="E28" s="39"/>
      <c r="F28" s="39"/>
      <c r="G28" s="39"/>
      <c r="H28" s="39"/>
      <c r="I28" s="40"/>
      <c r="J28" s="40"/>
      <c r="K28" s="40"/>
      <c r="L28" s="40"/>
      <c r="M28" s="40"/>
      <c r="N28" s="40"/>
      <c r="O28" s="40"/>
      <c r="P28" s="40"/>
      <c r="Q28" s="33"/>
      <c r="S28" s="22">
        <f>MIN(L8,O8)</f>
        <v>4.62</v>
      </c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5"/>
    </row>
    <row r="29" spans="2:41">
      <c r="B29" s="38"/>
      <c r="C29" s="39"/>
      <c r="D29" s="48">
        <f>(E23*F20)/L8</f>
        <v>58.132197874130867</v>
      </c>
      <c r="E29" s="149" t="s">
        <v>67</v>
      </c>
      <c r="F29" s="149"/>
      <c r="G29" s="149"/>
      <c r="H29" s="39"/>
      <c r="I29" s="222" t="s">
        <v>79</v>
      </c>
      <c r="J29" s="222"/>
      <c r="K29" s="222"/>
      <c r="L29" s="40"/>
      <c r="M29" s="40"/>
      <c r="N29" s="40"/>
      <c r="O29" s="40"/>
      <c r="P29" s="41"/>
      <c r="Q29" s="42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5"/>
    </row>
    <row r="30" spans="2:41">
      <c r="B30" s="38"/>
      <c r="C30" s="39"/>
      <c r="D30" s="39"/>
      <c r="E30" s="39"/>
      <c r="F30" s="173"/>
      <c r="G30" s="174">
        <f>MAX(D29,D32)</f>
        <v>80.343922750025428</v>
      </c>
      <c r="H30" s="158" t="s">
        <v>69</v>
      </c>
      <c r="I30" s="158"/>
      <c r="J30" s="158"/>
      <c r="K30" s="40"/>
      <c r="L30" s="40"/>
      <c r="M30" s="40"/>
      <c r="N30" s="40"/>
      <c r="O30" s="40"/>
      <c r="P30" s="40"/>
      <c r="Q30" s="33"/>
      <c r="S30" s="17">
        <f>MIN(E47,E49)</f>
        <v>73440</v>
      </c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5"/>
    </row>
    <row r="31" spans="2:41">
      <c r="B31" s="38"/>
      <c r="C31" s="39"/>
      <c r="D31" s="39"/>
      <c r="E31" s="39"/>
      <c r="F31" s="173"/>
      <c r="G31" s="174"/>
      <c r="H31" s="158"/>
      <c r="I31" s="158"/>
      <c r="J31" s="158"/>
      <c r="K31" s="40"/>
      <c r="L31" s="40"/>
      <c r="M31" s="40"/>
      <c r="N31" s="40"/>
      <c r="O31" s="40"/>
      <c r="P31" s="40"/>
      <c r="Q31" s="33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5"/>
    </row>
    <row r="32" spans="2:41">
      <c r="B32" s="43"/>
      <c r="C32" s="40"/>
      <c r="D32" s="48">
        <f>(E24*F20)/O8</f>
        <v>80.343922750025428</v>
      </c>
      <c r="E32" s="149" t="s">
        <v>68</v>
      </c>
      <c r="F32" s="149"/>
      <c r="G32" s="149"/>
      <c r="H32" s="39"/>
      <c r="I32" s="39"/>
      <c r="J32" s="40"/>
      <c r="K32" s="40"/>
      <c r="L32" s="40"/>
      <c r="M32" s="40"/>
      <c r="N32" s="40"/>
      <c r="O32" s="40"/>
      <c r="P32" s="40"/>
      <c r="Q32" s="33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5"/>
    </row>
    <row r="33" spans="2:41">
      <c r="B33" s="43"/>
      <c r="C33" s="40"/>
      <c r="D33" s="40"/>
      <c r="E33" s="40"/>
      <c r="F33" s="40"/>
      <c r="G33" s="40"/>
      <c r="H33" s="40"/>
      <c r="I33" s="222" t="s">
        <v>80</v>
      </c>
      <c r="J33" s="222"/>
      <c r="K33" s="222"/>
      <c r="L33" s="40"/>
      <c r="M33" s="40"/>
      <c r="N33" s="40"/>
      <c r="O33" s="40"/>
      <c r="P33" s="40"/>
      <c r="Q33" s="33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5"/>
    </row>
    <row r="34" spans="2:41">
      <c r="B34" s="43"/>
      <c r="C34" s="40"/>
      <c r="D34" s="40"/>
      <c r="E34" s="39"/>
      <c r="F34" s="39"/>
      <c r="G34" s="39"/>
      <c r="H34" s="40"/>
      <c r="I34" s="40"/>
      <c r="J34" s="40"/>
      <c r="K34" s="40"/>
      <c r="L34" s="40"/>
      <c r="M34" s="40"/>
      <c r="N34" s="40"/>
      <c r="O34" s="40"/>
      <c r="P34" s="40"/>
      <c r="Q34" s="33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</row>
    <row r="35" spans="2:41">
      <c r="B35" s="43"/>
      <c r="C35" s="40"/>
      <c r="D35" s="71">
        <f>(PI()^2*2100000)/(G30^2)</f>
        <v>3210.7979416673165</v>
      </c>
      <c r="F35" s="173" t="s">
        <v>70</v>
      </c>
      <c r="G35" s="173"/>
      <c r="H35" s="173"/>
      <c r="I35" s="173"/>
      <c r="J35" s="40"/>
      <c r="K35" s="40"/>
      <c r="L35" s="40"/>
      <c r="M35" s="40"/>
      <c r="N35" s="40"/>
      <c r="O35" s="40"/>
      <c r="P35" s="40"/>
      <c r="Q35" s="33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</row>
    <row r="36" spans="2:41">
      <c r="B36" s="43"/>
      <c r="C36" s="40"/>
      <c r="D36" s="40"/>
      <c r="E36" s="40"/>
      <c r="F36" s="40"/>
      <c r="G36" s="40"/>
      <c r="H36" s="40"/>
      <c r="I36" s="40"/>
      <c r="J36" s="44" t="str">
        <f>IF(OR(G30&lt;=T18,D35&gt;=T19),"[10-2-4-3]","[10-2-4-4]")</f>
        <v>[10-2-4-3]</v>
      </c>
      <c r="K36" s="45"/>
      <c r="L36" s="46">
        <f>IF(OR(G30&lt;=T18,D35&gt;=T19),T20,T21)</f>
        <v>1755.2506513145363</v>
      </c>
      <c r="M36" s="40"/>
      <c r="N36" s="149" t="s">
        <v>76</v>
      </c>
      <c r="O36" s="149"/>
      <c r="P36" s="149"/>
      <c r="Q36" s="221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</row>
    <row r="37" spans="2:41">
      <c r="B37" s="43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33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</row>
    <row r="38" spans="2:41">
      <c r="B38" s="43"/>
      <c r="C38" s="40"/>
      <c r="D38" s="40"/>
      <c r="E38" s="223">
        <f>0.9*L36*E8</f>
        <v>53710.669930224809</v>
      </c>
      <c r="F38" s="223"/>
      <c r="G38" s="149" t="s">
        <v>77</v>
      </c>
      <c r="H38" s="149"/>
      <c r="I38" s="149"/>
      <c r="J38" s="149"/>
      <c r="K38" s="40"/>
      <c r="L38" s="40"/>
      <c r="M38" s="40"/>
      <c r="N38" s="40"/>
      <c r="O38" s="40"/>
      <c r="P38" s="40"/>
      <c r="Q38" s="33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2:41">
      <c r="B39" s="43"/>
      <c r="C39" s="39"/>
      <c r="D39" s="39"/>
      <c r="E39" s="39"/>
      <c r="F39" s="39"/>
      <c r="G39" s="39"/>
      <c r="H39" s="39"/>
      <c r="I39" s="40"/>
      <c r="J39" s="40"/>
      <c r="K39" s="40"/>
      <c r="L39" s="40"/>
      <c r="M39" s="40"/>
      <c r="N39" s="40"/>
      <c r="O39" s="40"/>
      <c r="P39" s="40"/>
      <c r="Q39" s="33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2:41">
      <c r="B40" s="43"/>
      <c r="C40" s="39"/>
      <c r="D40" s="160">
        <f>E11/E38</f>
        <v>0.59161429267741406</v>
      </c>
      <c r="E40" s="146" t="str">
        <f>IF(D40&lt;=1,"OK","Not OK")</f>
        <v>OK</v>
      </c>
      <c r="F40" s="146" t="str">
        <f>IF(G30&lt;=200,"","Change Section")</f>
        <v/>
      </c>
      <c r="G40" s="146"/>
      <c r="H40" s="146"/>
      <c r="I40" s="39"/>
      <c r="J40" s="39"/>
      <c r="K40" s="39"/>
      <c r="L40" s="39"/>
      <c r="M40" s="39"/>
      <c r="N40" s="39"/>
      <c r="O40" s="39"/>
      <c r="P40" s="39"/>
      <c r="Q40" s="33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2:41">
      <c r="B41" s="43"/>
      <c r="C41" s="39"/>
      <c r="D41" s="160"/>
      <c r="E41" s="146"/>
      <c r="F41" s="146"/>
      <c r="G41" s="146"/>
      <c r="H41" s="146"/>
      <c r="I41" s="39"/>
      <c r="J41" s="39"/>
      <c r="K41" s="39"/>
      <c r="L41" s="39"/>
      <c r="M41" s="39"/>
      <c r="N41" s="39"/>
      <c r="O41" s="39"/>
      <c r="P41" s="39"/>
      <c r="Q41" s="33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2:41" ht="12.75" thickBot="1">
      <c r="B42" s="43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3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2:41" ht="12.75" thickBot="1">
      <c r="B43" s="150" t="s">
        <v>133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2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2:41">
      <c r="B44" s="43"/>
      <c r="C44" s="40"/>
      <c r="D44" s="153">
        <f>F20/S28</f>
        <v>116.26439574826173</v>
      </c>
      <c r="E44" s="155"/>
      <c r="F44" s="157" t="str">
        <f>IF(D44&lt;=300,"ok","notok")</f>
        <v>ok</v>
      </c>
      <c r="G44" s="39"/>
      <c r="H44" s="39"/>
      <c r="I44" s="39"/>
      <c r="J44" s="159" t="s">
        <v>78</v>
      </c>
      <c r="K44" s="159"/>
      <c r="L44" s="159"/>
      <c r="M44" s="40"/>
      <c r="N44" s="40"/>
      <c r="O44" s="40"/>
      <c r="P44" s="40"/>
      <c r="Q44" s="33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2:41">
      <c r="B45" s="43"/>
      <c r="C45" s="40"/>
      <c r="D45" s="154"/>
      <c r="E45" s="156"/>
      <c r="F45" s="158"/>
      <c r="G45" s="39"/>
      <c r="H45" s="39"/>
      <c r="I45" s="39"/>
      <c r="J45" s="146"/>
      <c r="K45" s="146"/>
      <c r="L45" s="146"/>
      <c r="M45" s="40"/>
      <c r="N45" s="40"/>
      <c r="O45" s="40"/>
      <c r="P45" s="40"/>
      <c r="Q45" s="33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2:41">
      <c r="B46" s="47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3"/>
    </row>
    <row r="47" spans="2:41">
      <c r="B47" s="47"/>
      <c r="C47" s="39"/>
      <c r="D47" s="39"/>
      <c r="E47" s="147">
        <f>0.9*E14*E8</f>
        <v>73440</v>
      </c>
      <c r="F47" s="39"/>
      <c r="G47" s="146" t="s">
        <v>82</v>
      </c>
      <c r="H47" s="146"/>
      <c r="I47" s="146"/>
      <c r="J47" s="146" t="s">
        <v>81</v>
      </c>
      <c r="K47" s="146"/>
      <c r="L47" s="146"/>
      <c r="M47" s="39"/>
      <c r="N47" s="39"/>
      <c r="O47" s="39"/>
      <c r="P47" s="39"/>
      <c r="Q47" s="33"/>
    </row>
    <row r="48" spans="2:41">
      <c r="B48" s="47"/>
      <c r="C48" s="39"/>
      <c r="D48" s="39"/>
      <c r="E48" s="147"/>
      <c r="F48" s="39"/>
      <c r="G48" s="146"/>
      <c r="H48" s="146"/>
      <c r="I48" s="146"/>
      <c r="J48" s="146"/>
      <c r="K48" s="146"/>
      <c r="L48" s="146"/>
      <c r="M48" s="39"/>
      <c r="N48" s="39"/>
      <c r="O48" s="39"/>
      <c r="P48" s="39"/>
      <c r="Q48" s="33"/>
    </row>
    <row r="49" spans="2:17">
      <c r="B49" s="47"/>
      <c r="C49" s="39"/>
      <c r="D49" s="39"/>
      <c r="E49" s="148">
        <f>0.75*E8*E15</f>
        <v>94350</v>
      </c>
      <c r="F49" s="39"/>
      <c r="G49" s="146" t="s">
        <v>83</v>
      </c>
      <c r="H49" s="146"/>
      <c r="I49" s="146"/>
      <c r="J49" s="146" t="s">
        <v>86</v>
      </c>
      <c r="K49" s="146"/>
      <c r="L49" s="146"/>
      <c r="M49" s="39"/>
      <c r="N49" s="39"/>
      <c r="O49" s="39"/>
      <c r="P49" s="39"/>
      <c r="Q49" s="33"/>
    </row>
    <row r="50" spans="2:17">
      <c r="B50" s="47"/>
      <c r="C50" s="39"/>
      <c r="D50" s="39"/>
      <c r="E50" s="148"/>
      <c r="F50" s="39"/>
      <c r="G50" s="146"/>
      <c r="H50" s="146"/>
      <c r="I50" s="146"/>
      <c r="J50" s="146"/>
      <c r="K50" s="146"/>
      <c r="L50" s="146"/>
      <c r="M50" s="39"/>
      <c r="N50" s="39"/>
      <c r="O50" s="39"/>
      <c r="P50" s="39"/>
      <c r="Q50" s="33"/>
    </row>
    <row r="51" spans="2:17">
      <c r="B51" s="47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3"/>
    </row>
    <row r="52" spans="2:17">
      <c r="B52" s="47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3"/>
    </row>
    <row r="53" spans="2:17">
      <c r="B53" s="225" t="str">
        <f>IF(E47&lt;E49,"[10-2-3-3]","[10-2-3-4]")</f>
        <v>[10-2-3-3]</v>
      </c>
      <c r="C53" s="226"/>
      <c r="D53" s="226"/>
      <c r="E53" s="39"/>
      <c r="F53" s="224">
        <f>E12/S30</f>
        <v>0.46791938997821353</v>
      </c>
      <c r="G53" s="146" t="str">
        <f>IF(F53&lt;=1,"OK","Not OK")</f>
        <v>OK</v>
      </c>
      <c r="H53" s="39"/>
      <c r="I53" s="39"/>
      <c r="J53" s="39"/>
      <c r="K53" s="39"/>
      <c r="L53" s="39"/>
      <c r="M53" s="39"/>
      <c r="N53" s="39"/>
      <c r="O53" s="39"/>
      <c r="P53" s="39"/>
      <c r="Q53" s="33"/>
    </row>
    <row r="54" spans="2:17">
      <c r="B54" s="225"/>
      <c r="C54" s="226"/>
      <c r="D54" s="226"/>
      <c r="E54" s="39"/>
      <c r="F54" s="224"/>
      <c r="G54" s="146"/>
      <c r="H54" s="39"/>
      <c r="I54" s="39"/>
      <c r="J54" s="39"/>
      <c r="K54" s="39"/>
      <c r="L54" s="39"/>
      <c r="M54" s="39"/>
      <c r="N54" s="39"/>
      <c r="O54" s="39"/>
      <c r="P54" s="39"/>
      <c r="Q54" s="33"/>
    </row>
    <row r="55" spans="2:17">
      <c r="B55" s="47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3"/>
    </row>
    <row r="56" spans="2:17">
      <c r="B56" s="47"/>
      <c r="C56" s="39"/>
      <c r="D56" s="39"/>
      <c r="E56" s="39"/>
      <c r="F56" s="220">
        <f>MROUND((0.75*G30*AF2),5)</f>
        <v>95</v>
      </c>
      <c r="G56" s="146" t="s">
        <v>88</v>
      </c>
      <c r="H56" s="146"/>
      <c r="I56" s="146"/>
      <c r="J56" s="146" t="s">
        <v>89</v>
      </c>
      <c r="K56" s="146"/>
      <c r="L56" s="146"/>
      <c r="M56" s="39"/>
      <c r="N56" s="39"/>
      <c r="O56" s="39"/>
      <c r="P56" s="39"/>
      <c r="Q56" s="33"/>
    </row>
    <row r="57" spans="2:17">
      <c r="B57" s="47"/>
      <c r="C57" s="39"/>
      <c r="D57" s="39"/>
      <c r="E57" s="39"/>
      <c r="F57" s="220"/>
      <c r="G57" s="146"/>
      <c r="H57" s="146"/>
      <c r="I57" s="146"/>
      <c r="J57" s="146"/>
      <c r="K57" s="146"/>
      <c r="L57" s="146"/>
      <c r="M57" s="39"/>
      <c r="N57" s="39"/>
      <c r="O57" s="39"/>
      <c r="P57" s="39"/>
      <c r="Q57" s="33"/>
    </row>
    <row r="58" spans="2:17">
      <c r="B58" s="47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3"/>
    </row>
    <row r="59" spans="2:17">
      <c r="B59" s="47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3"/>
    </row>
    <row r="60" spans="2:17">
      <c r="B60" s="11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6"/>
    </row>
    <row r="61" spans="2:17">
      <c r="B61" s="10"/>
      <c r="Q61" s="6"/>
    </row>
    <row r="62" spans="2:17">
      <c r="B62" s="10"/>
      <c r="Q62" s="6"/>
    </row>
    <row r="63" spans="2:17">
      <c r="B63" s="10"/>
      <c r="Q63" s="6"/>
    </row>
    <row r="64" spans="2:17">
      <c r="B64" s="10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6"/>
    </row>
    <row r="65" spans="2:17" ht="12.75" thickBot="1"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7"/>
    </row>
    <row r="66" spans="2:17" ht="12" customHeight="1">
      <c r="B66" s="288"/>
      <c r="C66" s="288"/>
      <c r="D66" s="288"/>
      <c r="E66" s="288"/>
      <c r="F66" s="288"/>
      <c r="G66" s="288"/>
      <c r="H66" s="288"/>
      <c r="I66" s="288"/>
      <c r="J66" s="288"/>
      <c r="K66" s="215"/>
      <c r="L66" s="215"/>
      <c r="M66" s="216"/>
      <c r="N66" s="216"/>
      <c r="O66" s="216"/>
      <c r="P66" s="218"/>
      <c r="Q66" s="218"/>
    </row>
    <row r="67" spans="2:17" ht="12.75" customHeight="1">
      <c r="B67" s="288"/>
      <c r="C67" s="288"/>
      <c r="D67" s="288"/>
      <c r="E67" s="288"/>
      <c r="F67" s="288"/>
      <c r="G67" s="288"/>
      <c r="H67" s="288"/>
      <c r="I67" s="288"/>
      <c r="J67" s="288"/>
      <c r="K67" s="215"/>
      <c r="L67" s="215"/>
      <c r="M67" s="219"/>
      <c r="N67" s="216"/>
      <c r="O67" s="216"/>
      <c r="P67" s="213"/>
      <c r="Q67" s="213"/>
    </row>
    <row r="68" spans="2:17">
      <c r="B68" s="289" t="s">
        <v>142</v>
      </c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3"/>
      <c r="Q68" s="213"/>
    </row>
    <row r="69" spans="2:17"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7"/>
      <c r="Q69" s="217"/>
    </row>
    <row r="70" spans="2:17">
      <c r="B70" s="1"/>
      <c r="C70" s="1"/>
      <c r="D70" s="2"/>
      <c r="E70" s="2"/>
      <c r="F70" s="2"/>
      <c r="G70" s="2"/>
      <c r="H70" s="290"/>
      <c r="I70" s="290"/>
      <c r="J70" s="290"/>
      <c r="K70" s="3"/>
      <c r="L70" s="4"/>
      <c r="M70" s="4"/>
      <c r="N70" s="4"/>
      <c r="O70" s="5"/>
      <c r="P70" s="13"/>
      <c r="Q70" s="13"/>
    </row>
    <row r="71" spans="2:17">
      <c r="B71" s="13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3"/>
    </row>
    <row r="72" spans="2:17">
      <c r="B72" s="13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3"/>
    </row>
    <row r="73" spans="2:17">
      <c r="B73" s="13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3"/>
    </row>
    <row r="74" spans="2:17">
      <c r="B74" s="13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3"/>
    </row>
    <row r="75" spans="2:17">
      <c r="B75" s="13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3"/>
    </row>
    <row r="76" spans="2:17">
      <c r="B76" s="13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3"/>
    </row>
    <row r="77" spans="2:17">
      <c r="B77" s="13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3"/>
    </row>
    <row r="78" spans="2:17">
      <c r="B78" s="13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3"/>
    </row>
    <row r="79" spans="2:17">
      <c r="B79" s="13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3"/>
    </row>
    <row r="80" spans="2:17">
      <c r="B80" s="13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3"/>
    </row>
    <row r="81" spans="2:17">
      <c r="B81" s="13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3"/>
    </row>
    <row r="82" spans="2:17">
      <c r="B82" s="13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3"/>
    </row>
    <row r="83" spans="2:17">
      <c r="B83" s="13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3"/>
    </row>
    <row r="84" spans="2:17">
      <c r="B84" s="13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3"/>
    </row>
    <row r="85" spans="2:17">
      <c r="B85" s="13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3"/>
    </row>
    <row r="86" spans="2:17">
      <c r="B86" s="13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3"/>
    </row>
    <row r="87" spans="2:17">
      <c r="B87" s="13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3"/>
    </row>
    <row r="88" spans="2:17">
      <c r="B88" s="13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3"/>
    </row>
    <row r="89" spans="2:17">
      <c r="B89" s="13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3"/>
    </row>
    <row r="90" spans="2:17">
      <c r="B90" s="13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3"/>
    </row>
    <row r="91" spans="2:17">
      <c r="B91" s="13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3"/>
    </row>
    <row r="92" spans="2:17">
      <c r="B92" s="13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3"/>
    </row>
    <row r="93" spans="2:17">
      <c r="B93" s="13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3"/>
    </row>
    <row r="94" spans="2:17">
      <c r="B94" s="13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3"/>
    </row>
    <row r="95" spans="2:17">
      <c r="B95" s="13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3"/>
    </row>
    <row r="96" spans="2:17">
      <c r="B96" s="13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3"/>
    </row>
    <row r="97" spans="2:17">
      <c r="B97" s="13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3"/>
    </row>
    <row r="98" spans="2:17">
      <c r="B98" s="13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3"/>
    </row>
    <row r="99" spans="2:17">
      <c r="B99" s="13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3"/>
    </row>
    <row r="100" spans="2:17">
      <c r="B100" s="13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3"/>
    </row>
    <row r="101" spans="2:17">
      <c r="B101" s="13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3"/>
    </row>
    <row r="102" spans="2:17">
      <c r="B102" s="13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3"/>
    </row>
    <row r="103" spans="2:17">
      <c r="B103" s="13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3"/>
    </row>
    <row r="104" spans="2:17">
      <c r="B104" s="13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3"/>
    </row>
    <row r="105" spans="2:17">
      <c r="B105" s="13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3"/>
    </row>
    <row r="106" spans="2:17">
      <c r="B106" s="13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3"/>
    </row>
    <row r="107" spans="2:17">
      <c r="B107" s="13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3"/>
    </row>
    <row r="108" spans="2:17">
      <c r="B108" s="13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3"/>
    </row>
    <row r="109" spans="2:17">
      <c r="B109" s="13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3"/>
    </row>
    <row r="110" spans="2:17">
      <c r="B110" s="13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3"/>
    </row>
    <row r="111" spans="2:17">
      <c r="B111" s="13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3"/>
    </row>
    <row r="112" spans="2:17">
      <c r="B112" s="13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3"/>
    </row>
    <row r="113" spans="2:17">
      <c r="B113" s="13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3"/>
    </row>
    <row r="114" spans="2:17">
      <c r="B114" s="13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3"/>
    </row>
    <row r="115" spans="2:17">
      <c r="B115" s="13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3"/>
    </row>
    <row r="116" spans="2:17">
      <c r="B116" s="13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3"/>
    </row>
    <row r="117" spans="2:17">
      <c r="B117" s="13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3"/>
    </row>
    <row r="118" spans="2:17">
      <c r="B118" s="13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3"/>
    </row>
    <row r="119" spans="2:17">
      <c r="B119" s="13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3"/>
    </row>
    <row r="120" spans="2:17">
      <c r="B120" s="13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3"/>
    </row>
    <row r="121" spans="2:17">
      <c r="B121" s="13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3"/>
    </row>
    <row r="122" spans="2:17">
      <c r="B122" s="13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3"/>
    </row>
    <row r="123" spans="2:17">
      <c r="B123" s="13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3"/>
    </row>
    <row r="124" spans="2:17">
      <c r="B124" s="13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3"/>
    </row>
    <row r="125" spans="2:17">
      <c r="B125" s="13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3"/>
    </row>
    <row r="126" spans="2:17">
      <c r="B126" s="13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3"/>
    </row>
    <row r="127" spans="2:17">
      <c r="B127" s="13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3"/>
    </row>
    <row r="128" spans="2:17">
      <c r="B128" s="13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3"/>
    </row>
    <row r="129" spans="2:17">
      <c r="B129" s="13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3"/>
    </row>
    <row r="130" spans="2:17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</row>
  </sheetData>
  <sheetProtection selectLockedCells="1"/>
  <mergeCells count="68">
    <mergeCell ref="B68:O69"/>
    <mergeCell ref="F56:F57"/>
    <mergeCell ref="G56:I57"/>
    <mergeCell ref="J56:L57"/>
    <mergeCell ref="N36:Q36"/>
    <mergeCell ref="C16:E16"/>
    <mergeCell ref="G17:I17"/>
    <mergeCell ref="G18:I18"/>
    <mergeCell ref="I29:K29"/>
    <mergeCell ref="I33:K33"/>
    <mergeCell ref="E38:F38"/>
    <mergeCell ref="E40:E41"/>
    <mergeCell ref="F53:F54"/>
    <mergeCell ref="G53:G54"/>
    <mergeCell ref="B53:D54"/>
    <mergeCell ref="F35:I35"/>
    <mergeCell ref="P67:Q68"/>
    <mergeCell ref="P69:Q69"/>
    <mergeCell ref="P66:Q66"/>
    <mergeCell ref="K67:L67"/>
    <mergeCell ref="M67:O67"/>
    <mergeCell ref="K66:L66"/>
    <mergeCell ref="M66:O66"/>
    <mergeCell ref="B1:J2"/>
    <mergeCell ref="K1:L1"/>
    <mergeCell ref="M1:O1"/>
    <mergeCell ref="P1:Q1"/>
    <mergeCell ref="K2:L2"/>
    <mergeCell ref="M2:O2"/>
    <mergeCell ref="P2:Q3"/>
    <mergeCell ref="B3:C4"/>
    <mergeCell ref="D3:J4"/>
    <mergeCell ref="K3:L3"/>
    <mergeCell ref="M3:O3"/>
    <mergeCell ref="K4:L4"/>
    <mergeCell ref="M4:O4"/>
    <mergeCell ref="P4:Q4"/>
    <mergeCell ref="K5:Q6"/>
    <mergeCell ref="E29:G29"/>
    <mergeCell ref="E32:G32"/>
    <mergeCell ref="H30:J31"/>
    <mergeCell ref="B5:J6"/>
    <mergeCell ref="G20:I20"/>
    <mergeCell ref="G14:I14"/>
    <mergeCell ref="G16:I16"/>
    <mergeCell ref="G11:I11"/>
    <mergeCell ref="G12:I12"/>
    <mergeCell ref="B27:Q27"/>
    <mergeCell ref="F30:F31"/>
    <mergeCell ref="G30:G31"/>
    <mergeCell ref="C14:D14"/>
    <mergeCell ref="E14:F14"/>
    <mergeCell ref="C15:D15"/>
    <mergeCell ref="E15:F15"/>
    <mergeCell ref="J49:L50"/>
    <mergeCell ref="E47:E48"/>
    <mergeCell ref="J47:L48"/>
    <mergeCell ref="G47:I48"/>
    <mergeCell ref="G49:I50"/>
    <mergeCell ref="E49:E50"/>
    <mergeCell ref="G38:J38"/>
    <mergeCell ref="B43:Q43"/>
    <mergeCell ref="D44:D45"/>
    <mergeCell ref="E44:E45"/>
    <mergeCell ref="F44:F45"/>
    <mergeCell ref="J44:L45"/>
    <mergeCell ref="D40:D41"/>
    <mergeCell ref="F40:H41"/>
  </mergeCells>
  <conditionalFormatting sqref="E40:E41">
    <cfRule type="expression" dxfId="37" priority="3">
      <formula>$D$40&gt;1</formula>
    </cfRule>
    <cfRule type="expression" dxfId="36" priority="4">
      <formula>$D$40&lt;=1</formula>
    </cfRule>
  </conditionalFormatting>
  <conditionalFormatting sqref="G53:G54">
    <cfRule type="expression" dxfId="35" priority="1">
      <formula>$F$53&gt;1</formula>
    </cfRule>
    <cfRule type="expression" dxfId="34" priority="2">
      <formula>$F$53&lt;=1</formula>
    </cfRule>
  </conditionalFormatting>
  <dataValidations count="5">
    <dataValidation type="list" allowBlank="1" showInputMessage="1" showErrorMessage="1" sqref="C8">
      <formula1>$AP$1:$AP$2</formula1>
    </dataValidation>
    <dataValidation type="list" allowBlank="1" showInputMessage="1" showErrorMessage="1" sqref="B8">
      <formula1>$AQ$1:$AQ$4</formula1>
    </dataValidation>
    <dataValidation type="list" allowBlank="1" showInputMessage="1" showErrorMessage="1" sqref="D8">
      <formula1>$AR$1:$AR$9</formula1>
    </dataValidation>
    <dataValidation type="list" allowBlank="1" showInputMessage="1" showErrorMessage="1" sqref="C14:D14">
      <formula1>$AG$1:$AG$2</formula1>
    </dataValidation>
    <dataValidation type="list" allowBlank="1" showInputMessage="1" showErrorMessage="1" sqref="C15:D15">
      <formula1>$AH$1:$AH$2</formula1>
    </dataValidation>
  </dataValidations>
  <hyperlinks>
    <hyperlink ref="B68" r:id="rId1"/>
  </hyperlinks>
  <printOptions horizontalCentered="1" verticalCentered="1"/>
  <pageMargins left="0.11811023622047245" right="0.11811023622047245" top="0.39370078740157483" bottom="0.39370078740157483" header="0.31496062992125984" footer="0.51181102362204722"/>
  <pageSetup paperSize="9" fitToHeight="2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BO130"/>
  <sheetViews>
    <sheetView zoomScale="98" zoomScaleNormal="98" workbookViewId="0">
      <selection activeCell="M4" sqref="M4:O4"/>
    </sheetView>
  </sheetViews>
  <sheetFormatPr defaultRowHeight="12"/>
  <cols>
    <col min="1" max="1" width="9.33203125" style="14" customWidth="1"/>
    <col min="2" max="2" width="7.83203125" style="14" customWidth="1"/>
    <col min="3" max="3" width="10.33203125" style="14" customWidth="1"/>
    <col min="4" max="4" width="7.33203125" style="14" customWidth="1"/>
    <col min="5" max="5" width="6.5" style="14" customWidth="1"/>
    <col min="6" max="6" width="6.6640625" style="14" customWidth="1"/>
    <col min="7" max="7" width="11.33203125" style="14" customWidth="1"/>
    <col min="8" max="8" width="5.33203125" style="14" customWidth="1"/>
    <col min="9" max="9" width="8.33203125" style="14" customWidth="1"/>
    <col min="10" max="10" width="6" style="14" customWidth="1"/>
    <col min="11" max="11" width="9.33203125" style="14"/>
    <col min="12" max="12" width="3.83203125" style="14" customWidth="1"/>
    <col min="13" max="13" width="9.33203125" style="14"/>
    <col min="14" max="14" width="4.6640625" style="14" customWidth="1"/>
    <col min="15" max="15" width="1.6640625" style="14" hidden="1" customWidth="1"/>
    <col min="16" max="17" width="9.33203125" style="14" customWidth="1"/>
    <col min="18" max="16384" width="9.33203125" style="14"/>
  </cols>
  <sheetData>
    <row r="1" spans="2:67">
      <c r="B1" s="176" t="s">
        <v>90</v>
      </c>
      <c r="C1" s="177"/>
      <c r="D1" s="177"/>
      <c r="E1" s="177"/>
      <c r="F1" s="177"/>
      <c r="G1" s="177"/>
      <c r="H1" s="177"/>
      <c r="I1" s="177"/>
      <c r="J1" s="178"/>
      <c r="K1" s="182" t="s">
        <v>1</v>
      </c>
      <c r="L1" s="183"/>
      <c r="M1" s="184" t="s">
        <v>2</v>
      </c>
      <c r="N1" s="185"/>
      <c r="O1" s="186"/>
      <c r="P1" s="187" t="s">
        <v>3</v>
      </c>
      <c r="Q1" s="188"/>
      <c r="T1" s="87"/>
      <c r="U1" s="17" t="s">
        <v>125</v>
      </c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</row>
    <row r="2" spans="2:67" ht="12.75" thickBot="1">
      <c r="B2" s="179"/>
      <c r="C2" s="180"/>
      <c r="D2" s="180"/>
      <c r="E2" s="180"/>
      <c r="F2" s="180"/>
      <c r="G2" s="180"/>
      <c r="H2" s="180"/>
      <c r="I2" s="180"/>
      <c r="J2" s="181"/>
      <c r="K2" s="189" t="s">
        <v>4</v>
      </c>
      <c r="L2" s="190"/>
      <c r="M2" s="191"/>
      <c r="N2" s="192"/>
      <c r="O2" s="193"/>
      <c r="P2" s="194">
        <v>2</v>
      </c>
      <c r="Q2" s="195"/>
      <c r="R2" s="87"/>
      <c r="S2" s="87"/>
      <c r="T2" s="87"/>
      <c r="U2" s="17" t="s">
        <v>126</v>
      </c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</row>
    <row r="3" spans="2:67">
      <c r="B3" s="245" t="s">
        <v>8</v>
      </c>
      <c r="C3" s="246"/>
      <c r="D3" s="249"/>
      <c r="E3" s="249"/>
      <c r="F3" s="249"/>
      <c r="G3" s="249"/>
      <c r="H3" s="249"/>
      <c r="I3" s="249"/>
      <c r="J3" s="250"/>
      <c r="K3" s="189" t="s">
        <v>5</v>
      </c>
      <c r="L3" s="190"/>
      <c r="M3" s="244"/>
      <c r="N3" s="192"/>
      <c r="O3" s="193"/>
      <c r="P3" s="196"/>
      <c r="Q3" s="197"/>
      <c r="R3" s="87"/>
      <c r="S3" s="87"/>
      <c r="T3" s="87"/>
      <c r="U3" s="17" t="s">
        <v>127</v>
      </c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</row>
    <row r="4" spans="2:67" ht="12.75" thickBot="1">
      <c r="B4" s="247"/>
      <c r="C4" s="248"/>
      <c r="D4" s="251"/>
      <c r="E4" s="251"/>
      <c r="F4" s="251"/>
      <c r="G4" s="251"/>
      <c r="H4" s="251"/>
      <c r="I4" s="251"/>
      <c r="J4" s="252"/>
      <c r="K4" s="209" t="s">
        <v>6</v>
      </c>
      <c r="L4" s="210"/>
      <c r="M4" s="244"/>
      <c r="N4" s="192"/>
      <c r="O4" s="193"/>
      <c r="P4" s="211" t="s">
        <v>7</v>
      </c>
      <c r="Q4" s="212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</row>
    <row r="5" spans="2:67">
      <c r="B5" s="167" t="s">
        <v>9</v>
      </c>
      <c r="C5" s="168"/>
      <c r="D5" s="168"/>
      <c r="E5" s="168"/>
      <c r="F5" s="168"/>
      <c r="G5" s="168"/>
      <c r="H5" s="168"/>
      <c r="I5" s="168"/>
      <c r="J5" s="169"/>
      <c r="K5" s="161" t="s">
        <v>53</v>
      </c>
      <c r="L5" s="162"/>
      <c r="M5" s="162"/>
      <c r="N5" s="162"/>
      <c r="O5" s="162"/>
      <c r="P5" s="162"/>
      <c r="Q5" s="163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</row>
    <row r="6" spans="2:67" ht="12.75" thickBot="1">
      <c r="B6" s="170"/>
      <c r="C6" s="171"/>
      <c r="D6" s="171"/>
      <c r="E6" s="171"/>
      <c r="F6" s="171"/>
      <c r="G6" s="171"/>
      <c r="H6" s="171"/>
      <c r="I6" s="171"/>
      <c r="J6" s="172"/>
      <c r="K6" s="164"/>
      <c r="L6" s="165"/>
      <c r="M6" s="165"/>
      <c r="N6" s="165"/>
      <c r="O6" s="165"/>
      <c r="P6" s="165"/>
      <c r="Q6" s="166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</row>
    <row r="7" spans="2:67">
      <c r="B7" s="233" t="str">
        <f>CONCATENATE("Section is ",'Calculation Sheet'!B8, ,'Calculation Sheet'!C8, ,'Calculation Sheet'!D8)</f>
        <v>Section is 2UNP120</v>
      </c>
      <c r="C7" s="234"/>
      <c r="D7" s="23" t="s">
        <v>32</v>
      </c>
      <c r="E7" s="23" t="s">
        <v>33</v>
      </c>
      <c r="N7" s="24"/>
      <c r="O7" s="24"/>
      <c r="P7" s="24"/>
      <c r="Q7" s="50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</row>
    <row r="8" spans="2:67">
      <c r="B8" s="235"/>
      <c r="C8" s="236"/>
      <c r="D8" s="25">
        <f>'Calculation Sheet'!E8</f>
        <v>34</v>
      </c>
      <c r="E8" s="25">
        <f>'Calculation Sheet'!F8</f>
        <v>12</v>
      </c>
      <c r="N8" s="51"/>
      <c r="O8" s="51"/>
      <c r="P8" s="26"/>
      <c r="Q8" s="52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</row>
    <row r="9" spans="2:67">
      <c r="B9" s="38"/>
      <c r="C9" s="39"/>
      <c r="D9" s="39"/>
      <c r="E9" s="39"/>
      <c r="F9" s="39"/>
      <c r="N9" s="39"/>
      <c r="O9" s="39"/>
      <c r="P9" s="39"/>
      <c r="Q9" s="33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</row>
    <row r="10" spans="2:67">
      <c r="B10" s="53"/>
      <c r="C10" s="72"/>
      <c r="D10" s="232">
        <f>ATAN('Calculation Sheet'!E18/'Calculation Sheet'!E17)*180/3.14</f>
        <v>47.362854825917218</v>
      </c>
      <c r="E10" s="242" t="s">
        <v>92</v>
      </c>
      <c r="F10" s="242"/>
      <c r="G10" s="242"/>
      <c r="J10" s="115"/>
      <c r="N10" s="40"/>
      <c r="O10" s="40"/>
      <c r="P10" s="40"/>
      <c r="Q10" s="33"/>
      <c r="R10" s="88"/>
      <c r="S10" s="89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</row>
    <row r="11" spans="2:67">
      <c r="B11" s="90"/>
      <c r="C11" s="91"/>
      <c r="D11" s="232"/>
      <c r="E11" s="242"/>
      <c r="F11" s="242"/>
      <c r="G11" s="242"/>
      <c r="N11" s="40"/>
      <c r="O11" s="40"/>
      <c r="P11" s="40"/>
      <c r="Q11" s="33"/>
      <c r="R11" s="88"/>
      <c r="S11" s="89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</row>
    <row r="12" spans="2:67">
      <c r="B12" s="38"/>
      <c r="C12" s="39"/>
      <c r="D12" s="39"/>
      <c r="E12" s="77"/>
      <c r="F12" s="76"/>
      <c r="N12" s="40"/>
      <c r="O12" s="40"/>
      <c r="P12" s="40"/>
      <c r="Q12" s="33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</row>
    <row r="13" spans="2:67">
      <c r="B13" s="38"/>
      <c r="C13" s="39"/>
      <c r="D13" s="241">
        <f>'Calculation Sheet'!$E$47</f>
        <v>73440</v>
      </c>
      <c r="E13" s="241"/>
      <c r="F13" s="243" t="s">
        <v>91</v>
      </c>
      <c r="G13" s="243"/>
      <c r="N13" s="40"/>
      <c r="O13" s="40"/>
      <c r="P13" s="40"/>
      <c r="Q13" s="33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</row>
    <row r="14" spans="2:67">
      <c r="B14" s="38"/>
      <c r="C14" s="92"/>
      <c r="D14" s="241"/>
      <c r="E14" s="241"/>
      <c r="F14" s="243"/>
      <c r="G14" s="243"/>
      <c r="N14" s="40"/>
      <c r="O14" s="40"/>
      <c r="P14" s="40"/>
      <c r="Q14" s="33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</row>
    <row r="15" spans="2:67">
      <c r="B15" s="116" t="s">
        <v>125</v>
      </c>
      <c r="C15" s="46">
        <f>IF(B15="E60",4200,IF(B15="E70",4900,5600))</f>
        <v>4200</v>
      </c>
      <c r="D15" s="39"/>
      <c r="E15" s="149" t="s">
        <v>105</v>
      </c>
      <c r="F15" s="149"/>
      <c r="G15" s="149"/>
      <c r="N15" s="40"/>
      <c r="O15" s="40"/>
      <c r="P15" s="40"/>
      <c r="Q15" s="33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</row>
    <row r="16" spans="2:67">
      <c r="B16" s="38"/>
      <c r="C16" s="39"/>
      <c r="D16" s="39"/>
      <c r="E16" s="39"/>
      <c r="F16" s="59"/>
      <c r="G16" s="49"/>
      <c r="J16" s="93"/>
      <c r="N16" s="173"/>
      <c r="O16" s="173"/>
      <c r="P16" s="173"/>
      <c r="Q16" s="240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</row>
    <row r="17" spans="2:67">
      <c r="B17" s="227" t="s">
        <v>141</v>
      </c>
      <c r="C17" s="228"/>
      <c r="D17" s="228"/>
      <c r="E17" s="228"/>
      <c r="F17" s="229" t="s">
        <v>104</v>
      </c>
      <c r="G17" s="229"/>
      <c r="N17" s="39"/>
      <c r="O17" s="39"/>
      <c r="P17" s="39"/>
      <c r="Q17" s="54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</row>
    <row r="18" spans="2:67" ht="15">
      <c r="B18" s="94" t="s">
        <v>103</v>
      </c>
      <c r="C18" s="61">
        <f>IF(B17="جوش در محل و بازرسی چشمی",0.75,IF(B17="جوش در کارخانه و بازرسی چشمی",0.85,1))</f>
        <v>0.75</v>
      </c>
      <c r="D18" s="78"/>
      <c r="E18" s="79"/>
      <c r="F18" s="80"/>
      <c r="G18" s="49"/>
      <c r="H18" s="49"/>
      <c r="I18" s="49"/>
      <c r="J18" s="39"/>
      <c r="K18" s="39"/>
      <c r="L18" s="39"/>
      <c r="M18" s="39"/>
      <c r="N18" s="39"/>
      <c r="O18" s="39"/>
      <c r="P18" s="238" t="str">
        <f>J64</f>
        <v>PL.600(Hor)x650(Ver)x10(t)mm</v>
      </c>
      <c r="Q18" s="239"/>
      <c r="R18" s="8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</row>
    <row r="19" spans="2:67">
      <c r="B19" s="95"/>
      <c r="D19" s="80"/>
      <c r="E19" s="80"/>
      <c r="F19" s="80"/>
      <c r="I19" s="39"/>
      <c r="J19" s="39"/>
      <c r="K19" s="39"/>
      <c r="L19" s="39"/>
      <c r="M19" s="39"/>
      <c r="N19" s="39"/>
      <c r="O19" s="39"/>
      <c r="P19" s="39"/>
      <c r="Q19" s="54"/>
      <c r="R19" s="8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</row>
    <row r="20" spans="2:67">
      <c r="B20" s="96" t="s">
        <v>97</v>
      </c>
      <c r="C20" s="62" t="s">
        <v>93</v>
      </c>
      <c r="D20" s="97" t="s">
        <v>98</v>
      </c>
      <c r="E20" s="231" t="s">
        <v>99</v>
      </c>
      <c r="F20" s="231"/>
      <c r="G20" s="231"/>
      <c r="I20" s="49"/>
      <c r="J20" s="39"/>
      <c r="K20" s="39"/>
      <c r="L20" s="39"/>
      <c r="M20" s="39"/>
      <c r="N20" s="39"/>
      <c r="O20" s="39"/>
      <c r="P20" s="39"/>
      <c r="Q20" s="54"/>
      <c r="R20" s="8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</row>
    <row r="21" spans="2:67">
      <c r="B21" s="98">
        <f>VALUE((IF(AND(C21&gt;=0,C21&lt;=7),"3",IF(AND(C21&gt;7,C21&lt;=12),"5",IF(AND(C21&gt;12,C21&lt;=20),"6","8")))))</f>
        <v>5</v>
      </c>
      <c r="C21" s="63">
        <f>'Calculation Sheet'!I8*10</f>
        <v>9</v>
      </c>
      <c r="D21" s="99">
        <f>IF(C21&lt;=7,C21,C21-2)</f>
        <v>7</v>
      </c>
      <c r="E21" s="230" t="str">
        <f>IF(AND(B21&lt;=C29,C29&lt;=D21,C29&lt;=0.75*C27),"a is ok","a is not ok")</f>
        <v>a is ok</v>
      </c>
      <c r="F21" s="230"/>
      <c r="G21" s="237" t="str">
        <f>IF(C29&lt;B21,"a&lt;D min",IF(C29&gt;D21,"a&gt;D max",IF(C29&gt;0.75*C27,"بعد جوش بیشتر از 0.7 ضخامت ورق می باشد ","")))</f>
        <v/>
      </c>
      <c r="H21" s="237"/>
      <c r="I21" s="237"/>
      <c r="J21" s="237"/>
      <c r="K21" s="39"/>
      <c r="L21" s="39"/>
      <c r="M21" s="39"/>
      <c r="N21" s="39"/>
      <c r="O21" s="39"/>
      <c r="P21" s="39"/>
      <c r="Q21" s="54"/>
      <c r="R21" s="8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</row>
    <row r="22" spans="2:67">
      <c r="B22" s="96" t="s">
        <v>97</v>
      </c>
      <c r="C22" s="62" t="s">
        <v>94</v>
      </c>
      <c r="D22" s="97" t="s">
        <v>98</v>
      </c>
      <c r="E22" s="253" t="s">
        <v>100</v>
      </c>
      <c r="F22" s="253"/>
      <c r="G22" s="253"/>
      <c r="H22" s="39"/>
      <c r="I22" s="39"/>
      <c r="J22" s="39"/>
      <c r="K22" s="39"/>
      <c r="L22" s="39"/>
      <c r="M22" s="39"/>
      <c r="N22" s="39"/>
      <c r="O22" s="39"/>
      <c r="P22" s="39"/>
      <c r="Q22" s="54"/>
      <c r="R22" s="8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</row>
    <row r="23" spans="2:67">
      <c r="B23" s="98">
        <f>VALUE((IF(AND(C23&gt;=0,C23&lt;=7),"3",IF(AND(C23&gt;7,C23&lt;=12),"5",IF(AND(C23&gt;12,C23&lt;=20),"6","8")))))</f>
        <v>5</v>
      </c>
      <c r="C23" s="117">
        <v>10.199999999999999</v>
      </c>
      <c r="D23" s="99">
        <f t="shared" ref="D23:D27" si="0">IF(C23&lt;=7,C23,C23-2)</f>
        <v>8.1999999999999993</v>
      </c>
      <c r="E23" s="253" t="str">
        <f>IF(AND(B23&lt;=C30,C30&lt;=D23,C30&lt;=0.75*C27),"b is ok","b is not ok")</f>
        <v>b is ok</v>
      </c>
      <c r="F23" s="253"/>
      <c r="G23" s="253" t="str">
        <f>IF(C30&lt;B23,"a&lt;D min",IF(C30&gt;D23,"b&gt;D max",IF(C30&gt;0.75*C27,"بعد جوش بیشتر از 0.7 ضخامت ورق می باشد ","")))</f>
        <v/>
      </c>
      <c r="H23" s="253"/>
      <c r="I23" s="253"/>
      <c r="J23" s="253"/>
      <c r="K23" s="39"/>
      <c r="L23" s="39"/>
      <c r="M23" s="39"/>
      <c r="N23" s="39"/>
      <c r="O23" s="39"/>
      <c r="P23" s="39"/>
      <c r="Q23" s="54"/>
      <c r="R23" s="8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</row>
    <row r="24" spans="2:67">
      <c r="B24" s="96" t="s">
        <v>97</v>
      </c>
      <c r="C24" s="62" t="s">
        <v>95</v>
      </c>
      <c r="D24" s="97" t="s">
        <v>98</v>
      </c>
      <c r="E24" s="253" t="s">
        <v>101</v>
      </c>
      <c r="F24" s="253"/>
      <c r="G24" s="253"/>
      <c r="H24" s="39"/>
      <c r="I24" s="39"/>
      <c r="J24" s="39"/>
      <c r="K24" s="39"/>
      <c r="L24" s="39"/>
      <c r="M24" s="39"/>
      <c r="N24" s="39"/>
      <c r="O24" s="39"/>
      <c r="P24" s="39"/>
      <c r="Q24" s="54"/>
      <c r="R24" s="8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</row>
    <row r="25" spans="2:67">
      <c r="B25" s="98">
        <f>VALUE((IF(AND(C25&gt;=0,C25&lt;=7),"3",IF(AND(C25&gt;7,C25&lt;=12),"5",IF(AND(C25&gt;12,C25&lt;=20),"6","8")))))</f>
        <v>5</v>
      </c>
      <c r="C25" s="117">
        <v>8</v>
      </c>
      <c r="D25" s="99">
        <f t="shared" si="0"/>
        <v>6</v>
      </c>
      <c r="E25" s="253" t="str">
        <f>IF(AND(B25&lt;=C30,C30&lt;=D25,C30&lt;=0.75*C27),"b is ok","b is not ok")</f>
        <v>b is ok</v>
      </c>
      <c r="F25" s="253"/>
      <c r="G25" s="253" t="str">
        <f>IF(C30&lt;B25,"a&lt;D min",IF(C30&gt;D25,"b&gt;D max",IF(C30&gt;0.75*C27,"بعد جوش بیشتر از 0.7 ضخامت ورق می باشد ","")))</f>
        <v/>
      </c>
      <c r="H25" s="253"/>
      <c r="I25" s="253"/>
      <c r="J25" s="253"/>
      <c r="K25" s="39"/>
      <c r="L25" s="39"/>
      <c r="M25" s="39"/>
      <c r="N25" s="39"/>
      <c r="O25" s="39"/>
      <c r="P25" s="39"/>
      <c r="Q25" s="54"/>
      <c r="R25" s="8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</row>
    <row r="26" spans="2:67">
      <c r="B26" s="96" t="s">
        <v>97</v>
      </c>
      <c r="C26" s="62" t="s">
        <v>96</v>
      </c>
      <c r="D26" s="97" t="s">
        <v>98</v>
      </c>
      <c r="E26" s="253" t="s">
        <v>102</v>
      </c>
      <c r="F26" s="253"/>
      <c r="G26" s="253"/>
      <c r="H26" s="39"/>
      <c r="I26" s="39"/>
      <c r="J26" s="39"/>
      <c r="K26" s="39"/>
      <c r="L26" s="39"/>
      <c r="M26" s="39"/>
      <c r="N26" s="39"/>
      <c r="O26" s="39"/>
      <c r="P26" s="39"/>
      <c r="Q26" s="54"/>
      <c r="R26" s="8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</row>
    <row r="27" spans="2:67">
      <c r="B27" s="98">
        <f>VALUE((IF(AND(C27&gt;=0,C27&lt;=7),"3",IF(AND(C27&gt;7,C27&lt;=12),"5",IF(AND(C27&gt;12,C27&lt;=20),"6","8")))))</f>
        <v>5</v>
      </c>
      <c r="C27" s="117">
        <v>10</v>
      </c>
      <c r="D27" s="99">
        <f t="shared" si="0"/>
        <v>8</v>
      </c>
      <c r="E27" s="253" t="str">
        <f>IF(AND(B27&lt;=C29,C29&lt;=D27,C29&lt;=0.75*C27),"a is ok","a is not ok")</f>
        <v>a is ok</v>
      </c>
      <c r="F27" s="253"/>
      <c r="G27" s="156" t="str">
        <f>IF(C29&lt;B27,"a&lt;D min",IF(C29&gt;D27,"a&gt;D max",IF(C29&gt;0.75*C27,"بعد جوش بیشتر از 0.7 ضخامت ورق می باشد ","")))</f>
        <v/>
      </c>
      <c r="H27" s="156"/>
      <c r="I27" s="156"/>
      <c r="J27" s="156"/>
      <c r="K27" s="156"/>
      <c r="L27" s="56"/>
      <c r="M27" s="56"/>
      <c r="N27" s="56"/>
      <c r="O27" s="56"/>
      <c r="P27" s="56"/>
      <c r="Q27" s="57"/>
      <c r="R27" s="8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</row>
    <row r="28" spans="2:67">
      <c r="B28" s="38"/>
      <c r="C28" s="39"/>
      <c r="D28" s="40"/>
      <c r="E28" s="40"/>
      <c r="F28" s="40"/>
      <c r="G28" s="40"/>
      <c r="H28" s="59"/>
      <c r="I28" s="59"/>
      <c r="J28" s="59"/>
      <c r="K28" s="59"/>
      <c r="L28" s="59"/>
      <c r="M28" s="59"/>
      <c r="N28" s="59"/>
      <c r="O28" s="59"/>
      <c r="P28" s="59"/>
      <c r="Q28" s="60"/>
      <c r="R28" s="8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</row>
    <row r="29" spans="2:67">
      <c r="B29" s="100" t="s">
        <v>106</v>
      </c>
      <c r="C29" s="118">
        <v>5</v>
      </c>
      <c r="D29" s="260" t="s">
        <v>109</v>
      </c>
      <c r="E29" s="260"/>
      <c r="F29" s="261" t="str">
        <f>IF(C29&lt;5,"المان دینامیکی حداقل بعد جوش 5 میلیمتر می باشد","")</f>
        <v/>
      </c>
      <c r="G29" s="261"/>
      <c r="H29" s="261"/>
      <c r="I29" s="59"/>
      <c r="J29" s="59"/>
      <c r="K29" s="59"/>
      <c r="L29" s="59"/>
      <c r="M29" s="59"/>
      <c r="N29" s="59"/>
      <c r="O29" s="59"/>
      <c r="P29" s="59"/>
      <c r="Q29" s="60"/>
      <c r="R29" s="8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</row>
    <row r="30" spans="2:67" ht="12.75" thickBot="1">
      <c r="B30" s="101" t="s">
        <v>107</v>
      </c>
      <c r="C30" s="119">
        <v>5</v>
      </c>
      <c r="D30" s="260" t="s">
        <v>110</v>
      </c>
      <c r="E30" s="260"/>
      <c r="F30" s="262" t="str">
        <f>IF(C30&lt;5,"المان دینامیکی حداقل بعد جوش 5 میلیمتر می باشد","")</f>
        <v/>
      </c>
      <c r="G30" s="262"/>
      <c r="H30" s="262"/>
      <c r="I30" s="59"/>
      <c r="J30" s="59"/>
      <c r="K30" s="59"/>
      <c r="L30" s="59"/>
      <c r="M30" s="59"/>
      <c r="N30" s="59"/>
      <c r="O30" s="59"/>
      <c r="P30" s="59"/>
      <c r="Q30" s="60"/>
      <c r="R30" s="8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7"/>
    </row>
    <row r="31" spans="2:67" ht="12.75" thickBot="1">
      <c r="B31" s="150" t="s">
        <v>108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2"/>
      <c r="R31" s="8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7"/>
    </row>
    <row r="32" spans="2:67">
      <c r="B32" s="64" t="s">
        <v>113</v>
      </c>
      <c r="C32" s="86">
        <v>4</v>
      </c>
      <c r="D32" s="254" t="s">
        <v>114</v>
      </c>
      <c r="E32" s="254"/>
      <c r="F32" s="254"/>
      <c r="G32" s="59"/>
      <c r="H32" s="59"/>
      <c r="I32" s="59"/>
      <c r="J32" s="59"/>
      <c r="K32" s="59"/>
      <c r="L32" s="59"/>
      <c r="M32" s="59"/>
      <c r="N32" s="255" t="s">
        <v>112</v>
      </c>
      <c r="O32" s="255"/>
      <c r="P32" s="255"/>
      <c r="Q32" s="256"/>
      <c r="R32" s="8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</row>
    <row r="33" spans="2:67">
      <c r="B33" s="102"/>
      <c r="N33" s="257"/>
      <c r="O33" s="257"/>
      <c r="P33" s="257"/>
      <c r="Q33" s="258"/>
      <c r="R33" s="8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</row>
    <row r="34" spans="2:67">
      <c r="B34" s="58"/>
      <c r="C34" s="59"/>
      <c r="D34" s="59"/>
      <c r="E34" s="59"/>
      <c r="F34" s="59"/>
      <c r="G34" s="59"/>
      <c r="H34" s="259"/>
      <c r="I34" s="232">
        <f>C18*0.75*0.6*C15*0.707*C29/10</f>
        <v>501.08624999999995</v>
      </c>
      <c r="J34" s="59"/>
      <c r="K34" s="254" t="s">
        <v>111</v>
      </c>
      <c r="L34" s="254"/>
      <c r="M34" s="254"/>
      <c r="N34" s="254"/>
      <c r="O34" s="59"/>
      <c r="P34" s="59"/>
      <c r="Q34" s="60"/>
      <c r="R34" s="8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7"/>
    </row>
    <row r="35" spans="2:67">
      <c r="B35" s="58"/>
      <c r="C35" s="59"/>
      <c r="D35" s="59"/>
      <c r="E35" s="59"/>
      <c r="F35" s="59"/>
      <c r="G35" s="59"/>
      <c r="H35" s="259"/>
      <c r="I35" s="232"/>
      <c r="J35" s="59"/>
      <c r="K35" s="254"/>
      <c r="L35" s="254"/>
      <c r="M35" s="254"/>
      <c r="N35" s="254"/>
      <c r="O35" s="59"/>
      <c r="P35" s="59"/>
      <c r="Q35" s="60"/>
      <c r="R35" s="8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</row>
    <row r="36" spans="2:67">
      <c r="B36" s="102"/>
      <c r="O36" s="59"/>
      <c r="P36" s="59"/>
      <c r="Q36" s="60"/>
      <c r="R36" s="8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</row>
    <row r="37" spans="2:67">
      <c r="B37" s="58"/>
      <c r="C37" s="59"/>
      <c r="D37" s="59"/>
      <c r="E37" s="232">
        <f>MROUND((D13/(C32*I34)),5)</f>
        <v>35</v>
      </c>
      <c r="F37" s="59"/>
      <c r="G37" s="254" t="s">
        <v>115</v>
      </c>
      <c r="H37" s="254"/>
      <c r="I37" s="254"/>
      <c r="J37" s="59"/>
      <c r="K37" s="59"/>
      <c r="L37" s="59"/>
      <c r="M37" s="59"/>
      <c r="N37" s="59"/>
      <c r="O37" s="59"/>
      <c r="P37" s="59"/>
      <c r="Q37" s="60"/>
      <c r="R37" s="8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</row>
    <row r="38" spans="2:67">
      <c r="B38" s="102"/>
      <c r="E38" s="232"/>
      <c r="G38" s="254"/>
      <c r="H38" s="254"/>
      <c r="I38" s="254"/>
      <c r="O38" s="59"/>
      <c r="P38" s="59"/>
      <c r="Q38" s="60"/>
      <c r="R38" s="8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</row>
    <row r="39" spans="2:67" ht="12.75" thickBot="1">
      <c r="B39" s="102"/>
      <c r="O39" s="59"/>
      <c r="P39" s="59"/>
      <c r="Q39" s="60"/>
      <c r="R39" s="8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</row>
    <row r="40" spans="2:67" ht="12.75" thickBot="1">
      <c r="B40" s="150" t="s">
        <v>135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2"/>
      <c r="R40" s="8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7"/>
    </row>
    <row r="41" spans="2:67">
      <c r="B41" s="64" t="s">
        <v>113</v>
      </c>
      <c r="C41" s="86">
        <v>2</v>
      </c>
      <c r="D41" s="254" t="s">
        <v>114</v>
      </c>
      <c r="E41" s="254"/>
      <c r="F41" s="254"/>
      <c r="G41" s="59"/>
      <c r="H41" s="59"/>
      <c r="I41" s="59"/>
      <c r="J41" s="59"/>
      <c r="K41" s="59"/>
      <c r="L41" s="59"/>
      <c r="N41" s="255" t="s">
        <v>116</v>
      </c>
      <c r="O41" s="255"/>
      <c r="P41" s="255"/>
      <c r="Q41" s="256"/>
      <c r="R41" s="8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7"/>
    </row>
    <row r="42" spans="2:67"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N42" s="257"/>
      <c r="O42" s="257"/>
      <c r="P42" s="257"/>
      <c r="Q42" s="258"/>
      <c r="R42" s="8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7"/>
    </row>
    <row r="43" spans="2:67">
      <c r="B43" s="58"/>
      <c r="C43" s="59"/>
      <c r="D43" s="59"/>
      <c r="E43" s="59"/>
      <c r="F43" s="59"/>
      <c r="G43" s="59"/>
      <c r="H43" s="259"/>
      <c r="I43" s="232">
        <f>C18*0.75*0.6*C15*0.707*C30/10</f>
        <v>501.08624999999995</v>
      </c>
      <c r="J43" s="59"/>
      <c r="K43" s="254" t="s">
        <v>111</v>
      </c>
      <c r="L43" s="254"/>
      <c r="M43" s="254"/>
      <c r="N43" s="254"/>
      <c r="O43" s="56"/>
      <c r="P43" s="56"/>
      <c r="Q43" s="57"/>
      <c r="R43" s="8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</row>
    <row r="44" spans="2:67">
      <c r="B44" s="58"/>
      <c r="C44" s="59"/>
      <c r="D44" s="59"/>
      <c r="E44" s="59"/>
      <c r="F44" s="59"/>
      <c r="G44" s="59"/>
      <c r="H44" s="259"/>
      <c r="I44" s="232"/>
      <c r="J44" s="59"/>
      <c r="K44" s="254"/>
      <c r="L44" s="254"/>
      <c r="M44" s="254"/>
      <c r="N44" s="254"/>
      <c r="O44" s="55"/>
      <c r="P44" s="55"/>
      <c r="Q44" s="54"/>
      <c r="R44" s="8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</row>
    <row r="45" spans="2:67">
      <c r="B45" s="47"/>
      <c r="C45" s="55"/>
      <c r="D45" s="55"/>
      <c r="E45" s="55"/>
      <c r="F45" s="55"/>
      <c r="G45" s="55"/>
      <c r="H45" s="55"/>
      <c r="I45" s="55"/>
      <c r="J45" s="55"/>
      <c r="K45" s="55"/>
      <c r="L45" s="55"/>
      <c r="Q45" s="54"/>
      <c r="R45" s="8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</row>
    <row r="46" spans="2:67">
      <c r="B46" s="47"/>
      <c r="C46" s="55"/>
      <c r="D46" s="55"/>
      <c r="E46" s="226">
        <f>MROUND((D13*COS(D10*3.14/180)/(C41*I43)),5)</f>
        <v>50</v>
      </c>
      <c r="F46" s="55"/>
      <c r="G46" s="254" t="s">
        <v>115</v>
      </c>
      <c r="H46" s="254"/>
      <c r="I46" s="254"/>
      <c r="J46" s="55"/>
      <c r="K46" s="55"/>
      <c r="L46" s="55"/>
      <c r="Q46" s="54"/>
      <c r="R46" s="8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</row>
    <row r="47" spans="2:67">
      <c r="B47" s="47"/>
      <c r="C47" s="55"/>
      <c r="D47" s="55"/>
      <c r="E47" s="226"/>
      <c r="F47" s="55"/>
      <c r="G47" s="254"/>
      <c r="H47" s="254"/>
      <c r="I47" s="254"/>
      <c r="J47" s="55"/>
      <c r="K47" s="55"/>
      <c r="L47" s="55"/>
      <c r="M47" s="55"/>
      <c r="N47" s="55"/>
      <c r="O47" s="55"/>
      <c r="P47" s="55"/>
      <c r="Q47" s="54"/>
      <c r="R47" s="8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</row>
    <row r="48" spans="2:67">
      <c r="B48" s="47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4"/>
      <c r="R48" s="8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</row>
    <row r="49" spans="2:67">
      <c r="B49" s="47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4"/>
      <c r="R49" s="8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</row>
    <row r="50" spans="2:67">
      <c r="B50" s="64" t="s">
        <v>113</v>
      </c>
      <c r="C50" s="86">
        <v>2</v>
      </c>
      <c r="D50" s="254" t="s">
        <v>114</v>
      </c>
      <c r="E50" s="254"/>
      <c r="F50" s="254"/>
      <c r="G50" s="59"/>
      <c r="H50" s="59"/>
      <c r="I50" s="59"/>
      <c r="J50" s="59"/>
      <c r="K50" s="59"/>
      <c r="L50" s="59"/>
      <c r="N50" s="257" t="s">
        <v>117</v>
      </c>
      <c r="O50" s="257"/>
      <c r="P50" s="257"/>
      <c r="Q50" s="258"/>
      <c r="R50" s="8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</row>
    <row r="51" spans="2:67">
      <c r="B51" s="58"/>
      <c r="C51" s="59"/>
      <c r="D51" s="59"/>
      <c r="E51" s="59"/>
      <c r="F51" s="59"/>
      <c r="G51" s="59"/>
      <c r="H51" s="59"/>
      <c r="I51" s="59"/>
      <c r="J51" s="59"/>
      <c r="K51" s="59"/>
      <c r="L51" s="59"/>
      <c r="N51" s="257"/>
      <c r="O51" s="257"/>
      <c r="P51" s="257"/>
      <c r="Q51" s="258"/>
      <c r="R51" s="8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</row>
    <row r="52" spans="2:67">
      <c r="B52" s="58"/>
      <c r="C52" s="59"/>
      <c r="D52" s="59"/>
      <c r="E52" s="59"/>
      <c r="F52" s="59"/>
      <c r="G52" s="59"/>
      <c r="H52" s="259"/>
      <c r="I52" s="232">
        <f>C18*C15*0.6*0.75*0.707*C30/10</f>
        <v>501.08624999999995</v>
      </c>
      <c r="J52" s="59"/>
      <c r="K52" s="254" t="s">
        <v>111</v>
      </c>
      <c r="L52" s="254"/>
      <c r="M52" s="254"/>
      <c r="N52" s="254"/>
      <c r="O52" s="56"/>
      <c r="P52" s="56"/>
      <c r="Q52" s="57"/>
      <c r="R52" s="87"/>
      <c r="S52" s="17"/>
      <c r="T52" s="17">
        <f>(CEILING(E46,5))*10</f>
        <v>500</v>
      </c>
      <c r="U52" s="17" t="s">
        <v>119</v>
      </c>
      <c r="V52" s="17" t="s">
        <v>122</v>
      </c>
      <c r="W52" s="17"/>
      <c r="X52" s="17"/>
      <c r="Y52" s="17"/>
      <c r="Z52" s="17"/>
      <c r="AA52" s="17"/>
      <c r="AB52" s="17"/>
      <c r="AC52" s="17"/>
      <c r="AD52" s="17"/>
      <c r="AE52" s="1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</row>
    <row r="53" spans="2:67">
      <c r="B53" s="58"/>
      <c r="C53" s="59"/>
      <c r="D53" s="59"/>
      <c r="E53" s="59"/>
      <c r="F53" s="59"/>
      <c r="G53" s="59"/>
      <c r="H53" s="259"/>
      <c r="I53" s="232"/>
      <c r="J53" s="59"/>
      <c r="K53" s="254"/>
      <c r="L53" s="254"/>
      <c r="M53" s="254"/>
      <c r="N53" s="254"/>
      <c r="O53" s="55"/>
      <c r="P53" s="55"/>
      <c r="Q53" s="54"/>
      <c r="R53" s="87"/>
      <c r="S53" s="17"/>
      <c r="T53" s="17">
        <f>(CEILING(E55,5))*10</f>
        <v>550</v>
      </c>
      <c r="U53" s="17" t="s">
        <v>120</v>
      </c>
      <c r="V53" s="17" t="s">
        <v>123</v>
      </c>
      <c r="W53" s="17"/>
      <c r="X53" s="17"/>
      <c r="Y53" s="17"/>
      <c r="Z53" s="17"/>
      <c r="AA53" s="17"/>
      <c r="AB53" s="17"/>
      <c r="AC53" s="17"/>
      <c r="AD53" s="17"/>
      <c r="AE53" s="1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</row>
    <row r="54" spans="2:67">
      <c r="B54" s="47"/>
      <c r="C54" s="55"/>
      <c r="D54" s="55"/>
      <c r="E54" s="55"/>
      <c r="F54" s="55"/>
      <c r="G54" s="55"/>
      <c r="H54" s="55"/>
      <c r="I54" s="55"/>
      <c r="J54" s="55"/>
      <c r="K54" s="55"/>
      <c r="L54" s="55"/>
      <c r="Q54" s="54"/>
      <c r="R54" s="87"/>
      <c r="S54" s="17"/>
      <c r="T54" s="17">
        <f>C27</f>
        <v>10</v>
      </c>
      <c r="U54" s="17" t="s">
        <v>121</v>
      </c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</row>
    <row r="55" spans="2:67">
      <c r="B55" s="47"/>
      <c r="C55" s="55"/>
      <c r="D55" s="55"/>
      <c r="E55" s="226">
        <f>MROUND((D13*SIN(D10*3.14/180)/(C50*I52)),5)</f>
        <v>55</v>
      </c>
      <c r="F55" s="55"/>
      <c r="G55" s="254" t="s">
        <v>115</v>
      </c>
      <c r="H55" s="254"/>
      <c r="I55" s="254"/>
      <c r="J55" s="55"/>
      <c r="K55" s="55"/>
      <c r="L55" s="55"/>
      <c r="Q55" s="54"/>
      <c r="R55" s="8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</row>
    <row r="56" spans="2:67">
      <c r="B56" s="47"/>
      <c r="C56" s="55"/>
      <c r="D56" s="55"/>
      <c r="E56" s="226"/>
      <c r="F56" s="55"/>
      <c r="G56" s="254"/>
      <c r="H56" s="254"/>
      <c r="I56" s="254"/>
      <c r="J56" s="55"/>
      <c r="K56" s="55"/>
      <c r="L56" s="55"/>
      <c r="M56" s="55"/>
      <c r="N56" s="55"/>
      <c r="O56" s="55"/>
      <c r="P56" s="55"/>
      <c r="Q56" s="54"/>
      <c r="R56" s="8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</row>
    <row r="57" spans="2:67">
      <c r="B57" s="47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4"/>
      <c r="R57" s="8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</row>
    <row r="58" spans="2:67">
      <c r="B58" s="47"/>
      <c r="C58" s="55"/>
      <c r="D58" s="55"/>
      <c r="E58" s="278" t="str">
        <f>CONCATENATE(T52,U52,V52,T53,U53,V52,T54,U54,V53)</f>
        <v>500(Hor)x550(Ver)x10(t)mm</v>
      </c>
      <c r="F58" s="278"/>
      <c r="G58" s="278"/>
      <c r="H58" s="278"/>
      <c r="I58" s="278"/>
      <c r="J58" s="278"/>
      <c r="K58" s="257" t="s">
        <v>118</v>
      </c>
      <c r="L58" s="257"/>
      <c r="M58" s="257"/>
      <c r="N58" s="257"/>
      <c r="O58" s="55"/>
      <c r="P58" s="55"/>
      <c r="Q58" s="54"/>
      <c r="R58" s="8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</row>
    <row r="59" spans="2:67">
      <c r="B59" s="47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4"/>
      <c r="R59" s="8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</row>
    <row r="60" spans="2:67">
      <c r="B60" s="47"/>
      <c r="C60" s="55"/>
      <c r="D60" s="55"/>
      <c r="E60" s="55"/>
      <c r="F60" s="55"/>
      <c r="G60" s="16"/>
      <c r="H60" s="55"/>
      <c r="I60" s="55"/>
      <c r="J60" s="55"/>
      <c r="K60" s="263" t="s">
        <v>124</v>
      </c>
      <c r="L60" s="263"/>
      <c r="M60" s="263"/>
      <c r="N60" s="263"/>
      <c r="O60" s="263"/>
      <c r="P60" s="263"/>
      <c r="Q60" s="264"/>
      <c r="R60" s="87"/>
      <c r="S60" s="17"/>
      <c r="T60" s="17"/>
      <c r="U60" s="17"/>
      <c r="V60" s="17"/>
      <c r="W60" s="17">
        <f>E37*10</f>
        <v>350</v>
      </c>
      <c r="X60" s="17"/>
      <c r="Y60" s="17"/>
      <c r="Z60" s="17"/>
      <c r="AA60" s="17"/>
      <c r="AB60" s="17"/>
      <c r="AC60" s="17"/>
      <c r="AD60" s="17"/>
      <c r="AE60" s="1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</row>
    <row r="61" spans="2:67" ht="12.75">
      <c r="B61" s="43"/>
      <c r="C61" s="65">
        <f>E46/COS(3.14/180*D10)/2-E8/2-2*C27/10</f>
        <v>28.8915871124292</v>
      </c>
      <c r="D61" s="66" t="str">
        <f>IF(A60&gt;C60,"&gt;","&lt;")</f>
        <v>&lt;</v>
      </c>
      <c r="E61" s="67">
        <f>E37</f>
        <v>35</v>
      </c>
      <c r="F61" s="265" t="str">
        <f>IF(C61="&gt;","ok","طول جوش کافی تامین نشده است. باید ابعاد ورق افزایش یابد")</f>
        <v>طول جوش کافی تامین نشده است. باید ابعاد ورق افزایش یابد</v>
      </c>
      <c r="G61" s="265"/>
      <c r="H61" s="265"/>
      <c r="I61" s="265"/>
      <c r="J61" s="265"/>
      <c r="K61" s="265"/>
      <c r="L61" s="265"/>
      <c r="M61" s="265"/>
      <c r="N61" s="16"/>
      <c r="O61" s="16"/>
      <c r="P61" s="16"/>
      <c r="Q61" s="103"/>
      <c r="R61" s="87"/>
      <c r="S61" s="17">
        <f>(E8+4)*10</f>
        <v>160</v>
      </c>
      <c r="T61" s="17" t="s">
        <v>129</v>
      </c>
      <c r="U61" s="17" t="s">
        <v>130</v>
      </c>
      <c r="V61" s="17"/>
      <c r="W61" s="17">
        <f>(IF(F61="","",CEILING(2*(E61+E8/2+2*C27/10)*COS(D10/180*3.14),5)))*10</f>
        <v>600</v>
      </c>
      <c r="X61" s="17"/>
      <c r="Y61" s="17"/>
      <c r="Z61" s="17"/>
      <c r="AA61" s="17"/>
      <c r="AB61" s="17"/>
      <c r="AC61" s="17"/>
      <c r="AD61" s="17"/>
      <c r="AE61" s="1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</row>
    <row r="62" spans="2:67">
      <c r="B62" s="10"/>
      <c r="C62" s="13"/>
      <c r="D62" s="13"/>
      <c r="E62" s="13"/>
      <c r="F62" s="13"/>
      <c r="G62" s="13"/>
      <c r="N62" s="13"/>
      <c r="O62" s="13"/>
      <c r="P62" s="13"/>
      <c r="Q62" s="6"/>
      <c r="R62" s="87"/>
      <c r="S62" s="17">
        <v>100</v>
      </c>
      <c r="T62" s="17"/>
      <c r="U62" s="17" t="s">
        <v>128</v>
      </c>
      <c r="V62" s="17"/>
      <c r="W62" s="17">
        <f>(IF(F61="","",CEILING(2*(E61+E8/2+2*C27/10)*SIN(D10/180*3.14),5)))*10</f>
        <v>650</v>
      </c>
      <c r="X62" s="17"/>
      <c r="Y62" s="17"/>
      <c r="Z62" s="17"/>
      <c r="AA62" s="17"/>
      <c r="AB62" s="17"/>
      <c r="AC62" s="17"/>
      <c r="AD62" s="17"/>
      <c r="AE62" s="1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</row>
    <row r="63" spans="2:67" ht="12.75" thickBot="1">
      <c r="B63" s="10"/>
      <c r="C63" s="13"/>
      <c r="D63" s="13"/>
      <c r="E63" s="13"/>
      <c r="F63" s="13"/>
      <c r="G63" s="13"/>
      <c r="I63" s="276" t="str">
        <f>IF(C61="&gt;","","اصلاح ابعاد  ورق بادبند برای تامین طول جوش اتصال بادبند به ورق ")</f>
        <v xml:space="preserve">اصلاح ابعاد  ورق بادبند برای تامین طول جوش اتصال بادبند به ورق </v>
      </c>
      <c r="J63" s="276"/>
      <c r="K63" s="276"/>
      <c r="L63" s="276"/>
      <c r="M63" s="276"/>
      <c r="N63" s="276"/>
      <c r="O63" s="276"/>
      <c r="P63" s="276"/>
      <c r="Q63" s="277"/>
      <c r="R63" s="87"/>
      <c r="S63" s="17">
        <f>C27</f>
        <v>10</v>
      </c>
      <c r="T63" s="17"/>
      <c r="U63" s="104">
        <f>'Calculation Sheet'!$F$56*10</f>
        <v>950</v>
      </c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</row>
    <row r="64" spans="2:67">
      <c r="B64" s="69"/>
      <c r="C64" s="68" t="str">
        <f>CONCATENATE(T61,T64,S61,V52,S62,V52,S63,U62,U63,T65)</f>
        <v>PL160x100x10@950c/c</v>
      </c>
      <c r="D64" s="68"/>
      <c r="E64" s="68"/>
      <c r="F64" s="265" t="s">
        <v>132</v>
      </c>
      <c r="G64" s="265"/>
      <c r="I64" s="39"/>
      <c r="J64" s="266" t="str">
        <f>CONCATENATE(T61,U61,W61,U52,V52,W62,U53,V52,T54,U54,V53)</f>
        <v>PL.600(Hor)x650(Ver)x10(t)mm</v>
      </c>
      <c r="K64" s="267"/>
      <c r="L64" s="267"/>
      <c r="M64" s="267"/>
      <c r="N64" s="268"/>
      <c r="O64" s="34"/>
      <c r="P64" s="272" t="str">
        <f>IF(C61="","","ابعاد اصلاح شده")</f>
        <v>ابعاد اصلاح شده</v>
      </c>
      <c r="Q64" s="273"/>
      <c r="R64" s="8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</row>
    <row r="65" spans="2:67" ht="12.75" thickBot="1">
      <c r="B65" s="8"/>
      <c r="C65" s="9"/>
      <c r="D65" s="9"/>
      <c r="E65" s="9"/>
      <c r="F65" s="9"/>
      <c r="G65" s="9"/>
      <c r="H65" s="9"/>
      <c r="I65" s="9"/>
      <c r="J65" s="269"/>
      <c r="K65" s="270"/>
      <c r="L65" s="270"/>
      <c r="M65" s="270"/>
      <c r="N65" s="271"/>
      <c r="O65" s="9"/>
      <c r="P65" s="274"/>
      <c r="Q65" s="275"/>
      <c r="R65" s="87"/>
      <c r="S65" s="17"/>
      <c r="T65" s="17" t="s">
        <v>131</v>
      </c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</row>
    <row r="66" spans="2:67" ht="12.75" thickBot="1">
      <c r="R66" s="8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</row>
    <row r="67" spans="2:67">
      <c r="B67" s="176" t="s">
        <v>90</v>
      </c>
      <c r="C67" s="177"/>
      <c r="D67" s="177"/>
      <c r="E67" s="177"/>
      <c r="F67" s="177"/>
      <c r="G67" s="177"/>
      <c r="H67" s="177"/>
      <c r="I67" s="177"/>
      <c r="J67" s="178"/>
      <c r="K67" s="182" t="s">
        <v>1</v>
      </c>
      <c r="L67" s="183"/>
      <c r="M67" s="184" t="s">
        <v>2</v>
      </c>
      <c r="N67" s="185"/>
      <c r="O67" s="186"/>
      <c r="P67" s="187" t="s">
        <v>3</v>
      </c>
      <c r="Q67" s="188"/>
      <c r="R67" s="8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</row>
    <row r="68" spans="2:67" ht="12.75" thickBot="1">
      <c r="B68" s="179"/>
      <c r="C68" s="180"/>
      <c r="D68" s="180"/>
      <c r="E68" s="180"/>
      <c r="F68" s="180"/>
      <c r="G68" s="180"/>
      <c r="H68" s="180"/>
      <c r="I68" s="180"/>
      <c r="J68" s="181"/>
      <c r="K68" s="189" t="s">
        <v>4</v>
      </c>
      <c r="L68" s="190"/>
      <c r="M68" s="191"/>
      <c r="N68" s="192"/>
      <c r="O68" s="193"/>
      <c r="P68" s="194">
        <v>3</v>
      </c>
      <c r="Q68" s="195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</row>
    <row r="69" spans="2:67">
      <c r="B69" s="245" t="s">
        <v>8</v>
      </c>
      <c r="C69" s="246"/>
      <c r="D69" s="249"/>
      <c r="E69" s="249"/>
      <c r="F69" s="249"/>
      <c r="G69" s="249"/>
      <c r="H69" s="249"/>
      <c r="I69" s="249"/>
      <c r="J69" s="250"/>
      <c r="K69" s="189" t="s">
        <v>5</v>
      </c>
      <c r="L69" s="190"/>
      <c r="M69" s="244" t="s">
        <v>140</v>
      </c>
      <c r="N69" s="192"/>
      <c r="O69" s="193"/>
      <c r="P69" s="196"/>
      <c r="Q69" s="19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</row>
    <row r="70" spans="2:67" ht="12.75" thickBot="1">
      <c r="B70" s="247"/>
      <c r="C70" s="248"/>
      <c r="D70" s="251"/>
      <c r="E70" s="251"/>
      <c r="F70" s="251"/>
      <c r="G70" s="251"/>
      <c r="H70" s="251"/>
      <c r="I70" s="251"/>
      <c r="J70" s="252"/>
      <c r="K70" s="209" t="s">
        <v>6</v>
      </c>
      <c r="L70" s="210"/>
      <c r="M70" s="244" t="s">
        <v>140</v>
      </c>
      <c r="N70" s="192"/>
      <c r="O70" s="193"/>
      <c r="P70" s="211" t="s">
        <v>7</v>
      </c>
      <c r="Q70" s="212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</row>
    <row r="71" spans="2:67">
      <c r="B71" s="167" t="s">
        <v>9</v>
      </c>
      <c r="C71" s="168"/>
      <c r="D71" s="168"/>
      <c r="E71" s="168"/>
      <c r="F71" s="168"/>
      <c r="G71" s="168"/>
      <c r="H71" s="168"/>
      <c r="I71" s="168"/>
      <c r="J71" s="169"/>
      <c r="K71" s="161" t="s">
        <v>53</v>
      </c>
      <c r="L71" s="162"/>
      <c r="M71" s="162"/>
      <c r="N71" s="162"/>
      <c r="O71" s="162"/>
      <c r="P71" s="162"/>
      <c r="Q71" s="163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</row>
    <row r="72" spans="2:67" ht="12.75" thickBot="1">
      <c r="B72" s="170"/>
      <c r="C72" s="171"/>
      <c r="D72" s="171"/>
      <c r="E72" s="171"/>
      <c r="F72" s="171"/>
      <c r="G72" s="171"/>
      <c r="H72" s="171"/>
      <c r="I72" s="171"/>
      <c r="J72" s="172"/>
      <c r="K72" s="164"/>
      <c r="L72" s="165"/>
      <c r="M72" s="165"/>
      <c r="N72" s="165"/>
      <c r="O72" s="165"/>
      <c r="P72" s="165"/>
      <c r="Q72" s="166"/>
      <c r="R72" s="15"/>
      <c r="S72" s="15"/>
      <c r="T72" s="15"/>
      <c r="U72" s="15"/>
      <c r="V72" s="15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</row>
    <row r="73" spans="2:67" ht="12.75" thickBot="1">
      <c r="B73" s="280" t="s">
        <v>136</v>
      </c>
      <c r="C73" s="281"/>
      <c r="D73" s="281"/>
      <c r="E73" s="281"/>
      <c r="F73" s="281"/>
      <c r="G73" s="281"/>
      <c r="H73" s="281"/>
      <c r="I73" s="281"/>
      <c r="J73" s="281"/>
      <c r="K73" s="281"/>
      <c r="L73" s="281"/>
      <c r="M73" s="281"/>
      <c r="N73" s="281"/>
      <c r="O73" s="281"/>
      <c r="P73" s="281"/>
      <c r="Q73" s="282"/>
      <c r="R73" s="15"/>
      <c r="S73" s="15"/>
      <c r="T73" s="15"/>
      <c r="U73" s="15"/>
      <c r="V73" s="15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7"/>
      <c r="AW73" s="87"/>
      <c r="AX73" s="87"/>
      <c r="AY73" s="87"/>
      <c r="AZ73" s="87"/>
      <c r="BA73" s="87"/>
      <c r="BB73" s="87"/>
      <c r="BC73" s="87"/>
      <c r="BD73" s="87"/>
      <c r="BE73" s="87"/>
      <c r="BF73" s="87"/>
      <c r="BG73" s="87"/>
      <c r="BH73" s="87"/>
      <c r="BI73" s="87"/>
      <c r="BJ73" s="87"/>
      <c r="BK73" s="87"/>
      <c r="BL73" s="87"/>
      <c r="BM73" s="87"/>
      <c r="BN73" s="87"/>
      <c r="BO73" s="87"/>
    </row>
    <row r="74" spans="2:67">
      <c r="B74" s="102"/>
      <c r="F74" s="105"/>
      <c r="G74" s="105"/>
      <c r="H74" s="105"/>
      <c r="I74" s="105"/>
      <c r="J74" s="105"/>
      <c r="K74" s="105"/>
      <c r="L74" s="105"/>
      <c r="M74" s="106"/>
      <c r="N74" s="106"/>
      <c r="O74" s="106"/>
      <c r="P74" s="106"/>
      <c r="Q74" s="107"/>
      <c r="R74" s="15"/>
      <c r="S74" s="15"/>
      <c r="T74" s="15"/>
      <c r="U74" s="15"/>
      <c r="V74" s="15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7"/>
      <c r="AW74" s="87"/>
      <c r="AX74" s="87"/>
      <c r="AY74" s="87"/>
      <c r="AZ74" s="87"/>
      <c r="BA74" s="87"/>
      <c r="BB74" s="87"/>
      <c r="BC74" s="87"/>
      <c r="BD74" s="87"/>
      <c r="BE74" s="87"/>
      <c r="BF74" s="87"/>
      <c r="BG74" s="87"/>
      <c r="BH74" s="87"/>
      <c r="BI74" s="87"/>
      <c r="BJ74" s="87"/>
      <c r="BK74" s="87"/>
      <c r="BL74" s="87"/>
      <c r="BM74" s="87"/>
      <c r="BN74" s="87"/>
      <c r="BO74" s="87"/>
    </row>
    <row r="75" spans="2:67">
      <c r="B75" s="108"/>
      <c r="C75" s="105"/>
      <c r="D75" s="279">
        <f>E8+(2*(TAN(30*3.14/180)*E37))</f>
        <v>52.389748027501106</v>
      </c>
      <c r="E75" s="105"/>
      <c r="F75" s="279" t="s">
        <v>134</v>
      </c>
      <c r="G75" s="279"/>
      <c r="H75" s="279"/>
      <c r="I75" s="105"/>
      <c r="J75" s="105"/>
      <c r="K75" s="105"/>
      <c r="L75" s="105"/>
      <c r="M75" s="105"/>
      <c r="N75" s="105"/>
      <c r="O75" s="105"/>
      <c r="P75" s="105"/>
      <c r="Q75" s="109"/>
      <c r="R75" s="15"/>
      <c r="S75" s="15"/>
      <c r="T75" s="17">
        <f>'Calculation Sheet'!$E$14</f>
        <v>2400</v>
      </c>
      <c r="U75" s="15"/>
      <c r="V75" s="15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7"/>
      <c r="AW75" s="87"/>
      <c r="AX75" s="87"/>
      <c r="AY75" s="87"/>
      <c r="AZ75" s="87"/>
      <c r="BA75" s="87"/>
      <c r="BB75" s="87"/>
      <c r="BC75" s="87"/>
      <c r="BD75" s="87"/>
      <c r="BE75" s="87"/>
      <c r="BF75" s="87"/>
      <c r="BG75" s="87"/>
      <c r="BH75" s="87"/>
      <c r="BI75" s="87"/>
      <c r="BJ75" s="87"/>
      <c r="BK75" s="87"/>
      <c r="BL75" s="87"/>
      <c r="BM75" s="87"/>
      <c r="BN75" s="87"/>
      <c r="BO75" s="87"/>
    </row>
    <row r="76" spans="2:67">
      <c r="B76" s="108"/>
      <c r="C76" s="105"/>
      <c r="D76" s="279"/>
      <c r="E76" s="105"/>
      <c r="F76" s="279"/>
      <c r="G76" s="279"/>
      <c r="H76" s="279"/>
      <c r="I76" s="105"/>
      <c r="J76" s="105"/>
      <c r="K76" s="105"/>
      <c r="L76" s="105"/>
      <c r="M76" s="105"/>
      <c r="N76" s="105"/>
      <c r="O76" s="105"/>
      <c r="P76" s="105"/>
      <c r="Q76" s="109"/>
      <c r="R76" s="15"/>
      <c r="S76" s="15"/>
      <c r="T76" s="15"/>
      <c r="U76" s="15"/>
      <c r="V76" s="15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7"/>
      <c r="AW76" s="87"/>
      <c r="AX76" s="87"/>
      <c r="AY76" s="87"/>
      <c r="AZ76" s="87"/>
      <c r="BA76" s="87"/>
      <c r="BB76" s="87"/>
      <c r="BC76" s="87"/>
      <c r="BD76" s="87"/>
      <c r="BE76" s="87"/>
      <c r="BF76" s="87"/>
      <c r="BG76" s="87"/>
      <c r="BH76" s="87"/>
      <c r="BI76" s="87"/>
      <c r="BJ76" s="87"/>
      <c r="BK76" s="87"/>
      <c r="BL76" s="87"/>
      <c r="BM76" s="87"/>
      <c r="BN76" s="87"/>
      <c r="BO76" s="87"/>
    </row>
    <row r="77" spans="2:67">
      <c r="B77" s="108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9"/>
      <c r="R77" s="15"/>
      <c r="S77" s="15"/>
      <c r="T77" s="15"/>
      <c r="U77" s="15"/>
      <c r="V77" s="15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  <c r="BA77" s="87"/>
      <c r="BB77" s="87"/>
      <c r="BC77" s="87"/>
      <c r="BD77" s="87"/>
      <c r="BE77" s="87"/>
      <c r="BF77" s="87"/>
      <c r="BG77" s="87"/>
      <c r="BH77" s="87"/>
      <c r="BI77" s="87"/>
      <c r="BJ77" s="87"/>
      <c r="BK77" s="87"/>
      <c r="BL77" s="87"/>
      <c r="BM77" s="87"/>
      <c r="BN77" s="87"/>
      <c r="BO77" s="87"/>
    </row>
    <row r="78" spans="2:67">
      <c r="B78" s="108"/>
      <c r="C78" s="105"/>
      <c r="D78" s="105"/>
      <c r="E78" s="105"/>
      <c r="F78" s="105"/>
      <c r="G78" s="287">
        <f>D13/1000</f>
        <v>73.44</v>
      </c>
      <c r="H78" s="279" t="str">
        <f>IF(G78&gt;I78,"&gt;","&lt;")</f>
        <v>&lt;</v>
      </c>
      <c r="I78" s="284">
        <f>0.9*D75*C27*T75/1000</f>
        <v>1131.618557394024</v>
      </c>
      <c r="J78" s="279" t="str">
        <f>IF(H78="&lt;","ok","Not ok")</f>
        <v>ok</v>
      </c>
      <c r="K78" s="105"/>
      <c r="L78" s="105"/>
      <c r="M78" s="105"/>
      <c r="N78" s="105"/>
      <c r="O78" s="105"/>
      <c r="P78" s="105"/>
      <c r="Q78" s="109"/>
      <c r="R78" s="15"/>
      <c r="S78" s="15"/>
      <c r="T78" s="15"/>
      <c r="U78" s="15"/>
      <c r="V78" s="15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</row>
    <row r="79" spans="2:67">
      <c r="B79" s="108"/>
      <c r="C79" s="105"/>
      <c r="D79" s="105"/>
      <c r="E79" s="105"/>
      <c r="F79" s="105"/>
      <c r="G79" s="287"/>
      <c r="H79" s="279"/>
      <c r="I79" s="284"/>
      <c r="J79" s="279"/>
      <c r="K79" s="105"/>
      <c r="L79" s="105"/>
      <c r="M79" s="105"/>
      <c r="N79" s="105"/>
      <c r="O79" s="105"/>
      <c r="P79" s="105"/>
      <c r="Q79" s="109"/>
      <c r="R79" s="15"/>
      <c r="S79" s="15"/>
      <c r="T79" s="15"/>
      <c r="U79" s="15"/>
      <c r="V79" s="15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</row>
    <row r="80" spans="2:67">
      <c r="B80" s="108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9"/>
      <c r="R80" s="15"/>
      <c r="S80" s="15"/>
      <c r="T80" s="15"/>
      <c r="U80" s="15"/>
      <c r="V80" s="15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</row>
    <row r="81" spans="2:67">
      <c r="B81" s="108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9"/>
      <c r="R81" s="15"/>
      <c r="S81" s="15"/>
      <c r="T81" s="15"/>
      <c r="U81" s="15"/>
      <c r="V81" s="15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</row>
    <row r="82" spans="2:67">
      <c r="B82" s="108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9"/>
      <c r="R82" s="15"/>
      <c r="S82" s="15"/>
      <c r="T82" s="15"/>
      <c r="U82" s="15"/>
      <c r="V82" s="15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</row>
    <row r="83" spans="2:67">
      <c r="B83" s="108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9"/>
      <c r="R83" s="15"/>
      <c r="S83" s="15"/>
      <c r="T83" s="15"/>
      <c r="U83" s="15"/>
      <c r="V83" s="15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  <c r="BH83" s="87"/>
      <c r="BI83" s="87"/>
      <c r="BJ83" s="87"/>
      <c r="BK83" s="87"/>
      <c r="BL83" s="87"/>
      <c r="BM83" s="87"/>
      <c r="BN83" s="87"/>
      <c r="BO83" s="87"/>
    </row>
    <row r="84" spans="2:67">
      <c r="B84" s="108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9"/>
      <c r="R84" s="15"/>
      <c r="S84" s="15"/>
      <c r="T84" s="15"/>
      <c r="U84" s="15"/>
      <c r="V84" s="15"/>
    </row>
    <row r="85" spans="2:67">
      <c r="B85" s="102"/>
      <c r="Q85" s="103"/>
      <c r="R85" s="15"/>
      <c r="S85" s="15"/>
      <c r="T85" s="15"/>
      <c r="U85" s="15"/>
      <c r="V85" s="15"/>
    </row>
    <row r="86" spans="2:67">
      <c r="B86" s="108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9"/>
      <c r="R86" s="15"/>
      <c r="S86" s="15"/>
      <c r="T86" s="15"/>
      <c r="U86" s="15"/>
    </row>
    <row r="87" spans="2:67">
      <c r="B87" s="108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9"/>
      <c r="R87" s="15"/>
      <c r="S87" s="15"/>
      <c r="T87" s="15"/>
      <c r="U87" s="15"/>
    </row>
    <row r="88" spans="2:67">
      <c r="B88" s="108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9"/>
      <c r="R88" s="15"/>
      <c r="S88" s="15"/>
      <c r="T88" s="15"/>
      <c r="U88" s="15"/>
    </row>
    <row r="89" spans="2:67">
      <c r="B89" s="102"/>
      <c r="Q89" s="103"/>
      <c r="R89" s="15"/>
      <c r="S89" s="15"/>
      <c r="T89" s="15"/>
      <c r="U89" s="15"/>
    </row>
    <row r="90" spans="2:67">
      <c r="B90" s="108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9"/>
      <c r="R90" s="15"/>
      <c r="S90" s="15"/>
      <c r="T90" s="15"/>
      <c r="U90" s="15"/>
    </row>
    <row r="91" spans="2:67">
      <c r="B91" s="108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9"/>
      <c r="R91" s="15"/>
      <c r="S91" s="15"/>
      <c r="T91" s="15"/>
      <c r="U91" s="15"/>
    </row>
    <row r="92" spans="2:67" ht="12.75" thickBot="1">
      <c r="B92" s="108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9"/>
      <c r="R92" s="15"/>
      <c r="S92" s="15"/>
      <c r="T92" s="15"/>
      <c r="U92" s="15"/>
    </row>
    <row r="93" spans="2:67" ht="12.75" thickBot="1">
      <c r="B93" s="280" t="s">
        <v>137</v>
      </c>
      <c r="C93" s="281"/>
      <c r="D93" s="281"/>
      <c r="E93" s="281"/>
      <c r="F93" s="281"/>
      <c r="G93" s="281"/>
      <c r="H93" s="281"/>
      <c r="I93" s="281"/>
      <c r="J93" s="281"/>
      <c r="K93" s="281"/>
      <c r="L93" s="281"/>
      <c r="M93" s="281"/>
      <c r="N93" s="281"/>
      <c r="O93" s="281"/>
      <c r="P93" s="281"/>
      <c r="Q93" s="282"/>
      <c r="R93" s="15"/>
      <c r="S93" s="15"/>
      <c r="T93" s="15"/>
      <c r="U93" s="15"/>
    </row>
    <row r="94" spans="2:67">
      <c r="B94" s="110"/>
      <c r="C94" s="111"/>
      <c r="D94" s="285">
        <f>E8*C27/10</f>
        <v>12</v>
      </c>
      <c r="E94" s="111"/>
      <c r="F94" s="285" t="s">
        <v>138</v>
      </c>
      <c r="G94" s="285"/>
      <c r="H94" s="285"/>
      <c r="I94" s="285"/>
      <c r="J94" s="105"/>
      <c r="K94" s="105"/>
      <c r="L94" s="105"/>
      <c r="M94" s="105"/>
      <c r="N94" s="105"/>
      <c r="O94" s="105"/>
      <c r="P94" s="105"/>
      <c r="Q94" s="109"/>
    </row>
    <row r="95" spans="2:67" ht="12.75" thickBot="1">
      <c r="B95" s="112"/>
      <c r="C95" s="113"/>
      <c r="D95" s="286"/>
      <c r="E95" s="113"/>
      <c r="F95" s="279"/>
      <c r="G95" s="279"/>
      <c r="H95" s="279"/>
      <c r="I95" s="279"/>
      <c r="J95" s="105"/>
      <c r="K95" s="105"/>
      <c r="L95" s="105"/>
      <c r="M95" s="105"/>
      <c r="N95" s="105"/>
      <c r="O95" s="105"/>
      <c r="P95" s="105"/>
      <c r="Q95" s="109"/>
    </row>
    <row r="96" spans="2:67">
      <c r="B96" s="108"/>
      <c r="C96" s="105"/>
      <c r="D96" s="279">
        <f>2*E37*C27/10</f>
        <v>70</v>
      </c>
      <c r="E96" s="105"/>
      <c r="F96" s="285" t="s">
        <v>139</v>
      </c>
      <c r="G96" s="285"/>
      <c r="H96" s="285"/>
      <c r="I96" s="285"/>
      <c r="J96" s="105"/>
      <c r="K96" s="105"/>
      <c r="L96" s="105"/>
      <c r="M96" s="105"/>
      <c r="N96" s="105"/>
      <c r="O96" s="105"/>
      <c r="P96" s="105"/>
      <c r="Q96" s="109"/>
    </row>
    <row r="97" spans="2:19">
      <c r="B97" s="108"/>
      <c r="C97" s="105"/>
      <c r="D97" s="279"/>
      <c r="E97" s="105"/>
      <c r="F97" s="279"/>
      <c r="G97" s="279"/>
      <c r="H97" s="279"/>
      <c r="I97" s="279"/>
      <c r="J97" s="105"/>
      <c r="K97" s="105"/>
      <c r="L97" s="105"/>
      <c r="M97" s="105"/>
      <c r="N97" s="105"/>
      <c r="O97" s="105"/>
      <c r="P97" s="105"/>
      <c r="Q97" s="109"/>
    </row>
    <row r="98" spans="2:19">
      <c r="B98" s="108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9"/>
    </row>
    <row r="99" spans="2:19">
      <c r="B99" s="108"/>
      <c r="C99" s="105"/>
      <c r="D99" s="105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9"/>
      <c r="S99" s="17">
        <f>'Calculation Sheet'!$E$15</f>
        <v>3700</v>
      </c>
    </row>
    <row r="100" spans="2:19">
      <c r="B100" s="108"/>
      <c r="C100" s="105"/>
      <c r="D100" s="105"/>
      <c r="E100" s="105"/>
      <c r="F100" s="105"/>
      <c r="G100" s="105"/>
      <c r="H100" s="105"/>
      <c r="I100" s="105"/>
      <c r="J100" s="105"/>
      <c r="K100" s="105"/>
      <c r="L100" s="105"/>
      <c r="M100" s="105"/>
      <c r="N100" s="105"/>
      <c r="O100" s="105"/>
      <c r="P100" s="105"/>
      <c r="Q100" s="109"/>
    </row>
    <row r="101" spans="2:19">
      <c r="B101" s="108"/>
      <c r="C101" s="105"/>
      <c r="D101" s="105"/>
      <c r="E101" s="105"/>
      <c r="F101" s="105"/>
      <c r="G101" s="105"/>
      <c r="H101" s="105"/>
      <c r="I101" s="105"/>
      <c r="J101" s="105"/>
      <c r="K101" s="105"/>
      <c r="L101" s="105"/>
      <c r="M101" s="105"/>
      <c r="N101" s="105"/>
      <c r="O101" s="105"/>
      <c r="P101" s="105"/>
      <c r="Q101" s="109"/>
    </row>
    <row r="102" spans="2:19">
      <c r="B102" s="108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105"/>
      <c r="P102" s="105"/>
      <c r="Q102" s="109"/>
    </row>
    <row r="103" spans="2:19">
      <c r="B103" s="283">
        <f>D13/1000</f>
        <v>73.44</v>
      </c>
      <c r="C103" s="279" t="str">
        <f>IF(B103&gt;D103,"&gt;","&lt;")</f>
        <v>&lt;</v>
      </c>
      <c r="D103" s="284">
        <f>((0.75*S99*D94)+(0.9*0.6*T75*D96))/1000</f>
        <v>124.02</v>
      </c>
      <c r="E103" s="279" t="str">
        <f>IF(C103="&lt;","ok","Not ok")</f>
        <v>ok</v>
      </c>
      <c r="F103" s="279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9"/>
    </row>
    <row r="104" spans="2:19">
      <c r="B104" s="283"/>
      <c r="C104" s="279"/>
      <c r="D104" s="284"/>
      <c r="E104" s="279"/>
      <c r="F104" s="279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9"/>
    </row>
    <row r="105" spans="2:19">
      <c r="B105" s="108"/>
      <c r="C105" s="105"/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9"/>
    </row>
    <row r="106" spans="2:19">
      <c r="B106" s="108"/>
      <c r="C106" s="105"/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9"/>
    </row>
    <row r="107" spans="2:19">
      <c r="B107" s="108"/>
      <c r="C107" s="105"/>
      <c r="D107" s="105"/>
      <c r="E107" s="105"/>
      <c r="F107" s="105"/>
      <c r="G107" s="105"/>
      <c r="H107" s="105"/>
      <c r="I107" s="105"/>
      <c r="J107" s="105"/>
      <c r="K107" s="105"/>
      <c r="L107" s="105"/>
      <c r="M107" s="105"/>
      <c r="N107" s="105"/>
      <c r="O107" s="105"/>
      <c r="P107" s="105"/>
      <c r="Q107" s="109"/>
    </row>
    <row r="108" spans="2:19">
      <c r="B108" s="108"/>
      <c r="C108" s="105"/>
      <c r="D108" s="105"/>
      <c r="E108" s="105"/>
      <c r="F108" s="105"/>
      <c r="G108" s="105"/>
      <c r="H108" s="105"/>
      <c r="I108" s="105"/>
      <c r="J108" s="105"/>
      <c r="K108" s="105"/>
      <c r="L108" s="105"/>
      <c r="M108" s="105"/>
      <c r="N108" s="105"/>
      <c r="O108" s="105"/>
      <c r="P108" s="105"/>
      <c r="Q108" s="109"/>
    </row>
    <row r="109" spans="2:19">
      <c r="B109" s="108"/>
      <c r="C109" s="105"/>
      <c r="D109" s="105"/>
      <c r="E109" s="105"/>
      <c r="F109" s="105"/>
      <c r="G109" s="105"/>
      <c r="H109" s="105"/>
      <c r="I109" s="105"/>
      <c r="J109" s="105"/>
      <c r="K109" s="105"/>
      <c r="L109" s="105"/>
      <c r="M109" s="105"/>
      <c r="N109" s="105"/>
      <c r="O109" s="105"/>
      <c r="P109" s="105"/>
      <c r="Q109" s="109"/>
    </row>
    <row r="110" spans="2:19">
      <c r="B110" s="108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  <c r="O110" s="105"/>
      <c r="P110" s="105"/>
      <c r="Q110" s="109"/>
    </row>
    <row r="111" spans="2:19">
      <c r="B111" s="108"/>
      <c r="C111" s="105"/>
      <c r="D111" s="105"/>
      <c r="E111" s="105"/>
      <c r="F111" s="105"/>
      <c r="G111" s="105"/>
      <c r="H111" s="105"/>
      <c r="I111" s="105"/>
      <c r="J111" s="105"/>
      <c r="K111" s="105"/>
      <c r="L111" s="105"/>
      <c r="M111" s="105"/>
      <c r="N111" s="105"/>
      <c r="O111" s="105"/>
      <c r="P111" s="105"/>
      <c r="Q111" s="109"/>
    </row>
    <row r="112" spans="2:19">
      <c r="B112" s="108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9"/>
    </row>
    <row r="113" spans="2:17">
      <c r="B113" s="108"/>
      <c r="C113" s="105"/>
      <c r="D113" s="105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9"/>
    </row>
    <row r="114" spans="2:17">
      <c r="B114" s="108"/>
      <c r="C114" s="105"/>
      <c r="D114" s="105"/>
      <c r="E114" s="105"/>
      <c r="F114" s="105"/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9"/>
    </row>
    <row r="115" spans="2:17">
      <c r="B115" s="108"/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9"/>
    </row>
    <row r="116" spans="2:17">
      <c r="B116" s="108"/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9"/>
    </row>
    <row r="117" spans="2:17">
      <c r="B117" s="108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9"/>
    </row>
    <row r="118" spans="2:17">
      <c r="B118" s="108"/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  <c r="N118" s="105"/>
      <c r="O118" s="105"/>
      <c r="P118" s="105"/>
      <c r="Q118" s="109"/>
    </row>
    <row r="119" spans="2:17">
      <c r="B119" s="108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  <c r="Q119" s="109"/>
    </row>
    <row r="120" spans="2:17">
      <c r="B120" s="108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9"/>
    </row>
    <row r="121" spans="2:17">
      <c r="B121" s="108"/>
      <c r="C121" s="105"/>
      <c r="D121" s="105"/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  <c r="Q121" s="109"/>
    </row>
    <row r="122" spans="2:17">
      <c r="B122" s="108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5"/>
      <c r="O122" s="105"/>
      <c r="P122" s="105"/>
      <c r="Q122" s="109"/>
    </row>
    <row r="123" spans="2:17">
      <c r="B123" s="108"/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  <c r="N123" s="105"/>
      <c r="O123" s="105"/>
      <c r="P123" s="105"/>
      <c r="Q123" s="109"/>
    </row>
    <row r="124" spans="2:17">
      <c r="B124" s="108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  <c r="Q124" s="109"/>
    </row>
    <row r="125" spans="2:17">
      <c r="B125" s="108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  <c r="Q125" s="109"/>
    </row>
    <row r="126" spans="2:17">
      <c r="B126" s="108"/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105"/>
      <c r="Q126" s="109"/>
    </row>
    <row r="127" spans="2:17">
      <c r="B127" s="108"/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  <c r="O127" s="105"/>
      <c r="P127" s="105"/>
      <c r="Q127" s="109"/>
    </row>
    <row r="128" spans="2:17">
      <c r="B128" s="108"/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5"/>
      <c r="O128" s="105"/>
      <c r="P128" s="105"/>
      <c r="Q128" s="109"/>
    </row>
    <row r="129" spans="2:17">
      <c r="B129" s="108"/>
      <c r="C129" s="105"/>
      <c r="D129" s="105"/>
      <c r="E129" s="105"/>
      <c r="F129" s="105"/>
      <c r="G129" s="105"/>
      <c r="H129" s="105"/>
      <c r="I129" s="105"/>
      <c r="J129" s="105"/>
      <c r="K129" s="105"/>
      <c r="L129" s="105"/>
      <c r="M129" s="105"/>
      <c r="N129" s="105"/>
      <c r="O129" s="105"/>
      <c r="P129" s="105"/>
      <c r="Q129" s="109"/>
    </row>
    <row r="130" spans="2:17" ht="12.75" thickBot="1">
      <c r="B130" s="112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4"/>
    </row>
  </sheetData>
  <sheetProtection selectLockedCells="1"/>
  <mergeCells count="105">
    <mergeCell ref="B103:B104"/>
    <mergeCell ref="C103:C104"/>
    <mergeCell ref="D103:D104"/>
    <mergeCell ref="E103:F104"/>
    <mergeCell ref="D94:D95"/>
    <mergeCell ref="D96:D97"/>
    <mergeCell ref="F94:I95"/>
    <mergeCell ref="F96:I97"/>
    <mergeCell ref="D75:D76"/>
    <mergeCell ref="F75:H76"/>
    <mergeCell ref="G78:G79"/>
    <mergeCell ref="H78:H79"/>
    <mergeCell ref="I78:I79"/>
    <mergeCell ref="J78:J79"/>
    <mergeCell ref="B93:Q93"/>
    <mergeCell ref="B73:Q73"/>
    <mergeCell ref="B71:J72"/>
    <mergeCell ref="K71:Q72"/>
    <mergeCell ref="B67:J68"/>
    <mergeCell ref="K67:L67"/>
    <mergeCell ref="M67:O67"/>
    <mergeCell ref="P67:Q67"/>
    <mergeCell ref="K68:L68"/>
    <mergeCell ref="M68:O68"/>
    <mergeCell ref="P68:Q69"/>
    <mergeCell ref="B69:C70"/>
    <mergeCell ref="D69:J70"/>
    <mergeCell ref="K69:L69"/>
    <mergeCell ref="M69:O69"/>
    <mergeCell ref="K70:L70"/>
    <mergeCell ref="M70:O70"/>
    <mergeCell ref="P70:Q70"/>
    <mergeCell ref="K60:Q60"/>
    <mergeCell ref="F61:M61"/>
    <mergeCell ref="F64:G64"/>
    <mergeCell ref="J64:N65"/>
    <mergeCell ref="P64:Q65"/>
    <mergeCell ref="I63:Q63"/>
    <mergeCell ref="E55:E56"/>
    <mergeCell ref="G55:I56"/>
    <mergeCell ref="K58:N58"/>
    <mergeCell ref="E58:J58"/>
    <mergeCell ref="E46:E47"/>
    <mergeCell ref="G46:I47"/>
    <mergeCell ref="D50:F50"/>
    <mergeCell ref="N50:Q51"/>
    <mergeCell ref="H52:H53"/>
    <mergeCell ref="I52:I53"/>
    <mergeCell ref="K52:N53"/>
    <mergeCell ref="B40:Q40"/>
    <mergeCell ref="N41:Q42"/>
    <mergeCell ref="D41:F41"/>
    <mergeCell ref="H43:H44"/>
    <mergeCell ref="I43:I44"/>
    <mergeCell ref="K43:N44"/>
    <mergeCell ref="K34:N35"/>
    <mergeCell ref="N32:Q33"/>
    <mergeCell ref="D32:F32"/>
    <mergeCell ref="E37:E38"/>
    <mergeCell ref="G37:I38"/>
    <mergeCell ref="H34:H35"/>
    <mergeCell ref="I34:I35"/>
    <mergeCell ref="D29:E29"/>
    <mergeCell ref="D30:E30"/>
    <mergeCell ref="F29:H29"/>
    <mergeCell ref="F30:H30"/>
    <mergeCell ref="B31:Q31"/>
    <mergeCell ref="G23:J23"/>
    <mergeCell ref="G25:J25"/>
    <mergeCell ref="E22:G22"/>
    <mergeCell ref="E24:G24"/>
    <mergeCell ref="E23:F23"/>
    <mergeCell ref="E25:F25"/>
    <mergeCell ref="E26:G26"/>
    <mergeCell ref="E27:F27"/>
    <mergeCell ref="G27:K27"/>
    <mergeCell ref="K1:L1"/>
    <mergeCell ref="M1:O1"/>
    <mergeCell ref="B5:J6"/>
    <mergeCell ref="K5:Q6"/>
    <mergeCell ref="K3:L3"/>
    <mergeCell ref="M3:O3"/>
    <mergeCell ref="K4:L4"/>
    <mergeCell ref="M4:O4"/>
    <mergeCell ref="P1:Q1"/>
    <mergeCell ref="K2:L2"/>
    <mergeCell ref="M2:O2"/>
    <mergeCell ref="P2:Q3"/>
    <mergeCell ref="B1:J2"/>
    <mergeCell ref="B3:C4"/>
    <mergeCell ref="D3:J4"/>
    <mergeCell ref="B17:E17"/>
    <mergeCell ref="F17:G17"/>
    <mergeCell ref="E21:F21"/>
    <mergeCell ref="E20:G20"/>
    <mergeCell ref="P4:Q4"/>
    <mergeCell ref="D10:D11"/>
    <mergeCell ref="E15:G15"/>
    <mergeCell ref="B7:C8"/>
    <mergeCell ref="G21:J21"/>
    <mergeCell ref="P18:Q18"/>
    <mergeCell ref="N16:Q16"/>
    <mergeCell ref="D13:E14"/>
    <mergeCell ref="E10:G11"/>
    <mergeCell ref="F13:G14"/>
  </mergeCells>
  <dataValidations count="2">
    <dataValidation type="list" allowBlank="1" showInputMessage="1" showErrorMessage="1" sqref="B15">
      <formula1>$U$1:$U$3</formula1>
    </dataValidation>
    <dataValidation type="list" allowBlank="1" showInputMessage="1" showErrorMessage="1" sqref="B17">
      <formula1>"آزمایشهای غیرمخرب رادیوگرافی یا اولتراسونیک,جوش در کارخانه و بازرسی چشمی,جوش در محل و بازرسی چشمی"</formula1>
    </dataValidation>
  </dataValidations>
  <printOptions horizontalCentered="1" verticalCentered="1"/>
  <pageMargins left="0.11811023622047245" right="0.11811023622047245" top="0.39370078740157483" bottom="0.39370078740157483" header="0.31496062992125984" footer="0.51181102362204722"/>
  <pageSetup paperSize="9" fitToHeight="2" orientation="portrait" r:id="rId1"/>
  <headerFooter alignWithMargins="0"/>
  <ignoredErrors>
    <ignoredError sqref="D1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3"/>
  <sheetViews>
    <sheetView workbookViewId="0">
      <selection activeCell="L28" sqref="L28"/>
    </sheetView>
  </sheetViews>
  <sheetFormatPr defaultRowHeight="12"/>
  <cols>
    <col min="1" max="16384" width="9.33203125" style="14"/>
  </cols>
  <sheetData>
    <row r="1" spans="1:14" ht="15.75">
      <c r="A1" s="120" t="s">
        <v>10</v>
      </c>
      <c r="B1" s="121" t="s">
        <v>11</v>
      </c>
      <c r="C1" s="121" t="s">
        <v>12</v>
      </c>
      <c r="D1" s="121" t="s">
        <v>13</v>
      </c>
      <c r="E1" s="121" t="s">
        <v>14</v>
      </c>
      <c r="F1" s="121" t="s">
        <v>15</v>
      </c>
      <c r="G1" s="121" t="s">
        <v>16</v>
      </c>
      <c r="H1" s="121" t="s">
        <v>17</v>
      </c>
      <c r="I1" s="121" t="s">
        <v>18</v>
      </c>
      <c r="J1" s="121" t="s">
        <v>19</v>
      </c>
      <c r="K1" s="121" t="s">
        <v>20</v>
      </c>
      <c r="L1" s="121" t="s">
        <v>21</v>
      </c>
      <c r="M1" s="121" t="s">
        <v>22</v>
      </c>
      <c r="N1" s="121" t="s">
        <v>23</v>
      </c>
    </row>
    <row r="2" spans="1:14" ht="12.75">
      <c r="A2" s="122" t="s">
        <v>24</v>
      </c>
      <c r="B2" s="123" t="s">
        <v>25</v>
      </c>
      <c r="C2" s="123" t="s">
        <v>25</v>
      </c>
      <c r="D2" s="123" t="s">
        <v>25</v>
      </c>
      <c r="E2" s="123" t="s">
        <v>25</v>
      </c>
      <c r="F2" s="123" t="s">
        <v>25</v>
      </c>
      <c r="G2" s="123" t="s">
        <v>26</v>
      </c>
      <c r="H2" s="123" t="s">
        <v>27</v>
      </c>
      <c r="I2" s="123" t="s">
        <v>27</v>
      </c>
      <c r="J2" s="123" t="s">
        <v>28</v>
      </c>
      <c r="K2" s="123" t="s">
        <v>28</v>
      </c>
      <c r="L2" s="123" t="s">
        <v>25</v>
      </c>
      <c r="M2" s="123" t="s">
        <v>25</v>
      </c>
      <c r="N2" s="123" t="s">
        <v>25</v>
      </c>
    </row>
    <row r="3" spans="1:14" ht="12.75">
      <c r="A3" s="122">
        <v>80</v>
      </c>
      <c r="B3" s="124">
        <v>8</v>
      </c>
      <c r="C3" s="125">
        <v>4</v>
      </c>
      <c r="D3" s="126">
        <v>0.74</v>
      </c>
      <c r="E3" s="126">
        <v>0.45</v>
      </c>
      <c r="F3" s="126">
        <v>2.11</v>
      </c>
      <c r="G3" s="125">
        <v>8.98</v>
      </c>
      <c r="H3" s="125">
        <v>89.4</v>
      </c>
      <c r="I3" s="125">
        <v>12.8</v>
      </c>
      <c r="J3" s="126">
        <v>22.35</v>
      </c>
      <c r="K3" s="126">
        <v>4.76</v>
      </c>
      <c r="L3" s="126">
        <v>3.16</v>
      </c>
      <c r="M3" s="126">
        <v>1.19</v>
      </c>
      <c r="N3" s="127">
        <v>1.31</v>
      </c>
    </row>
    <row r="4" spans="1:14" ht="12.75">
      <c r="A4" s="122">
        <v>100</v>
      </c>
      <c r="B4" s="124">
        <v>10</v>
      </c>
      <c r="C4" s="125">
        <v>4.5999999999999996</v>
      </c>
      <c r="D4" s="126">
        <v>0.76</v>
      </c>
      <c r="E4" s="126">
        <v>0.45</v>
      </c>
      <c r="F4" s="126">
        <v>2.2599999999999998</v>
      </c>
      <c r="G4" s="125">
        <v>10.9</v>
      </c>
      <c r="H4" s="128">
        <v>175</v>
      </c>
      <c r="I4" s="125">
        <v>20.399999999999999</v>
      </c>
      <c r="J4" s="126">
        <v>34.799999999999997</v>
      </c>
      <c r="K4" s="126">
        <v>6.46</v>
      </c>
      <c r="L4" s="126">
        <v>4</v>
      </c>
      <c r="M4" s="126">
        <v>1.37</v>
      </c>
      <c r="N4" s="127">
        <v>1.44</v>
      </c>
    </row>
    <row r="5" spans="1:14" ht="12.75">
      <c r="A5" s="122">
        <v>120</v>
      </c>
      <c r="B5" s="124">
        <v>12</v>
      </c>
      <c r="C5" s="125">
        <v>5.2</v>
      </c>
      <c r="D5" s="126">
        <v>0.78</v>
      </c>
      <c r="E5" s="126">
        <v>0.48</v>
      </c>
      <c r="F5" s="126">
        <v>2.4300000000000002</v>
      </c>
      <c r="G5" s="125">
        <v>13.3</v>
      </c>
      <c r="H5" s="128">
        <v>304</v>
      </c>
      <c r="I5" s="125">
        <v>31.2</v>
      </c>
      <c r="J5" s="126">
        <v>50.67</v>
      </c>
      <c r="K5" s="126">
        <v>8.5299999999999994</v>
      </c>
      <c r="L5" s="126">
        <v>4.78</v>
      </c>
      <c r="M5" s="126">
        <v>1.53</v>
      </c>
      <c r="N5" s="127">
        <v>1.54</v>
      </c>
    </row>
    <row r="6" spans="1:14" ht="12.75">
      <c r="A6" s="122">
        <v>140</v>
      </c>
      <c r="B6" s="124">
        <v>14</v>
      </c>
      <c r="C6" s="125">
        <v>5.8</v>
      </c>
      <c r="D6" s="126">
        <v>0.81</v>
      </c>
      <c r="E6" s="126">
        <v>0.49</v>
      </c>
      <c r="F6" s="126">
        <v>2.6</v>
      </c>
      <c r="G6" s="125">
        <v>15.6</v>
      </c>
      <c r="H6" s="128">
        <v>491</v>
      </c>
      <c r="I6" s="125">
        <v>45.4</v>
      </c>
      <c r="J6" s="126">
        <v>70.14</v>
      </c>
      <c r="K6" s="126">
        <v>10.99</v>
      </c>
      <c r="L6" s="126">
        <v>5.61</v>
      </c>
      <c r="M6" s="126">
        <v>1.71</v>
      </c>
      <c r="N6" s="127">
        <v>1.67</v>
      </c>
    </row>
    <row r="7" spans="1:14" ht="12.75">
      <c r="A7" s="122">
        <v>160</v>
      </c>
      <c r="B7" s="124">
        <v>16</v>
      </c>
      <c r="C7" s="125">
        <v>6.4</v>
      </c>
      <c r="D7" s="126">
        <v>0.84</v>
      </c>
      <c r="E7" s="126">
        <v>0.5</v>
      </c>
      <c r="F7" s="126">
        <v>2.79</v>
      </c>
      <c r="G7" s="125">
        <v>18.100000000000001</v>
      </c>
      <c r="H7" s="128">
        <v>747</v>
      </c>
      <c r="I7" s="125">
        <v>63.3</v>
      </c>
      <c r="J7" s="126">
        <v>93.37</v>
      </c>
      <c r="K7" s="126">
        <v>13.76</v>
      </c>
      <c r="L7" s="126">
        <v>6.42</v>
      </c>
      <c r="M7" s="126">
        <v>1.87</v>
      </c>
      <c r="N7" s="127">
        <v>1.8</v>
      </c>
    </row>
    <row r="8" spans="1:14" ht="12.75">
      <c r="A8" s="122">
        <v>180</v>
      </c>
      <c r="B8" s="124">
        <v>18</v>
      </c>
      <c r="C8" s="125">
        <v>7</v>
      </c>
      <c r="D8" s="126">
        <v>0.87</v>
      </c>
      <c r="E8" s="126">
        <v>0.51</v>
      </c>
      <c r="F8" s="126">
        <v>2.98</v>
      </c>
      <c r="G8" s="125">
        <v>20.7</v>
      </c>
      <c r="H8" s="128">
        <v>1090</v>
      </c>
      <c r="I8" s="125">
        <v>86</v>
      </c>
      <c r="J8" s="126">
        <v>121.1</v>
      </c>
      <c r="K8" s="126">
        <v>17</v>
      </c>
      <c r="L8" s="126">
        <v>7.56</v>
      </c>
      <c r="M8" s="126">
        <v>2.04</v>
      </c>
      <c r="N8" s="127">
        <v>1.94</v>
      </c>
    </row>
    <row r="9" spans="1:14" ht="12.75">
      <c r="A9" s="122">
        <v>200</v>
      </c>
      <c r="B9" s="124">
        <v>20</v>
      </c>
      <c r="C9" s="125">
        <v>7.6</v>
      </c>
      <c r="D9" s="126">
        <v>0.9</v>
      </c>
      <c r="E9" s="126">
        <v>0.52</v>
      </c>
      <c r="F9" s="126">
        <v>3.19</v>
      </c>
      <c r="G9" s="125">
        <v>23.4</v>
      </c>
      <c r="H9" s="128">
        <v>1520</v>
      </c>
      <c r="I9" s="125">
        <v>113</v>
      </c>
      <c r="J9" s="126">
        <v>152</v>
      </c>
      <c r="K9" s="126">
        <v>20.43</v>
      </c>
      <c r="L9" s="126">
        <v>8.06</v>
      </c>
      <c r="M9" s="126">
        <v>2.2000000000000002</v>
      </c>
      <c r="N9" s="127">
        <v>2.0699999999999998</v>
      </c>
    </row>
    <row r="10" spans="1:14" ht="12.75">
      <c r="A10" s="122">
        <v>220</v>
      </c>
      <c r="B10" s="124">
        <v>22</v>
      </c>
      <c r="C10" s="125">
        <v>8.1999999999999993</v>
      </c>
      <c r="D10" s="126">
        <v>0.95</v>
      </c>
      <c r="E10" s="126">
        <v>0.54</v>
      </c>
      <c r="F10" s="126">
        <v>3.38</v>
      </c>
      <c r="G10" s="125">
        <v>26.7</v>
      </c>
      <c r="H10" s="128">
        <v>2110</v>
      </c>
      <c r="I10" s="125">
        <v>151</v>
      </c>
      <c r="J10" s="126">
        <v>191.8</v>
      </c>
      <c r="K10" s="126">
        <v>25.21</v>
      </c>
      <c r="L10" s="126">
        <v>8.89</v>
      </c>
      <c r="M10" s="126">
        <v>2.38</v>
      </c>
      <c r="N10" s="127">
        <v>2.21</v>
      </c>
    </row>
    <row r="11" spans="1:14" ht="12.75">
      <c r="A11" s="129">
        <v>240</v>
      </c>
      <c r="B11" s="130">
        <v>24</v>
      </c>
      <c r="C11" s="131">
        <v>9</v>
      </c>
      <c r="D11" s="132">
        <v>1</v>
      </c>
      <c r="E11" s="132">
        <v>0.56000000000000005</v>
      </c>
      <c r="F11" s="132">
        <v>3.68</v>
      </c>
      <c r="G11" s="131">
        <v>30.6</v>
      </c>
      <c r="H11" s="133">
        <v>2900</v>
      </c>
      <c r="I11" s="131">
        <v>208</v>
      </c>
      <c r="J11" s="132">
        <v>241.7</v>
      </c>
      <c r="K11" s="132">
        <v>31.61</v>
      </c>
      <c r="L11" s="132">
        <v>9.74</v>
      </c>
      <c r="M11" s="132">
        <v>2.61</v>
      </c>
      <c r="N11" s="134">
        <v>2.42</v>
      </c>
    </row>
    <row r="12" spans="1:14" ht="15">
      <c r="A12" s="135"/>
      <c r="B12" s="136"/>
      <c r="C12" s="135"/>
      <c r="D12" s="135"/>
      <c r="E12" s="135"/>
      <c r="F12" s="136"/>
      <c r="G12" s="136"/>
      <c r="H12" s="136"/>
      <c r="I12" s="135"/>
      <c r="J12" s="136"/>
      <c r="K12" s="135"/>
      <c r="L12" s="135"/>
      <c r="M12" s="135"/>
      <c r="N12" s="135"/>
    </row>
    <row r="13" spans="1:14" ht="15.75">
      <c r="A13" s="120" t="s">
        <v>10</v>
      </c>
      <c r="B13" s="137" t="s">
        <v>11</v>
      </c>
      <c r="C13" s="137" t="s">
        <v>12</v>
      </c>
      <c r="D13" s="137" t="s">
        <v>13</v>
      </c>
      <c r="E13" s="137" t="s">
        <v>14</v>
      </c>
      <c r="F13" s="137" t="s">
        <v>15</v>
      </c>
      <c r="G13" s="137" t="s">
        <v>16</v>
      </c>
      <c r="H13" s="137" t="s">
        <v>17</v>
      </c>
      <c r="I13" s="137" t="s">
        <v>18</v>
      </c>
      <c r="J13" s="137" t="s">
        <v>19</v>
      </c>
      <c r="K13" s="137" t="s">
        <v>20</v>
      </c>
      <c r="L13" s="137" t="s">
        <v>21</v>
      </c>
      <c r="M13" s="137" t="s">
        <v>22</v>
      </c>
      <c r="N13" s="138" t="s">
        <v>23</v>
      </c>
    </row>
    <row r="14" spans="1:14" ht="12.75">
      <c r="A14" s="122" t="s">
        <v>29</v>
      </c>
      <c r="B14" s="139" t="s">
        <v>25</v>
      </c>
      <c r="C14" s="139" t="s">
        <v>25</v>
      </c>
      <c r="D14" s="139" t="s">
        <v>25</v>
      </c>
      <c r="E14" s="139" t="s">
        <v>25</v>
      </c>
      <c r="F14" s="139" t="s">
        <v>25</v>
      </c>
      <c r="G14" s="139" t="s">
        <v>26</v>
      </c>
      <c r="H14" s="139" t="s">
        <v>27</v>
      </c>
      <c r="I14" s="139" t="s">
        <v>27</v>
      </c>
      <c r="J14" s="139" t="s">
        <v>28</v>
      </c>
      <c r="K14" s="139" t="s">
        <v>28</v>
      </c>
      <c r="L14" s="139" t="s">
        <v>25</v>
      </c>
      <c r="M14" s="139" t="s">
        <v>25</v>
      </c>
      <c r="N14" s="140" t="s">
        <v>25</v>
      </c>
    </row>
    <row r="15" spans="1:14" ht="12.75">
      <c r="A15" s="122">
        <v>80</v>
      </c>
      <c r="B15" s="124">
        <v>8</v>
      </c>
      <c r="C15" s="141">
        <v>4.5</v>
      </c>
      <c r="D15" s="141">
        <v>0.8</v>
      </c>
      <c r="E15" s="141">
        <v>0.6</v>
      </c>
      <c r="F15" s="141">
        <v>1.45</v>
      </c>
      <c r="G15" s="141">
        <v>11</v>
      </c>
      <c r="H15" s="141">
        <v>106</v>
      </c>
      <c r="I15" s="141">
        <v>19.399999999999999</v>
      </c>
      <c r="J15" s="141">
        <v>26.5</v>
      </c>
      <c r="K15" s="141">
        <v>6.36</v>
      </c>
      <c r="L15" s="141">
        <v>3.1</v>
      </c>
      <c r="M15" s="141">
        <v>1.33</v>
      </c>
      <c r="N15" s="142">
        <v>2.67</v>
      </c>
    </row>
    <row r="16" spans="1:14" ht="12.75">
      <c r="A16" s="122">
        <v>100</v>
      </c>
      <c r="B16" s="124">
        <v>10</v>
      </c>
      <c r="C16" s="141">
        <v>5</v>
      </c>
      <c r="D16" s="141">
        <v>0.85</v>
      </c>
      <c r="E16" s="141">
        <v>0.6</v>
      </c>
      <c r="F16" s="141">
        <v>1.55</v>
      </c>
      <c r="G16" s="141">
        <v>13.5</v>
      </c>
      <c r="H16" s="141">
        <v>206</v>
      </c>
      <c r="I16" s="141">
        <v>29.3</v>
      </c>
      <c r="J16" s="141">
        <v>41.2</v>
      </c>
      <c r="K16" s="141">
        <v>8.49</v>
      </c>
      <c r="L16" s="141">
        <v>3.91</v>
      </c>
      <c r="M16" s="141">
        <v>1.47</v>
      </c>
      <c r="N16" s="142">
        <v>2.93</v>
      </c>
    </row>
    <row r="17" spans="1:14" ht="12.75">
      <c r="A17" s="122">
        <v>120</v>
      </c>
      <c r="B17" s="124">
        <v>12</v>
      </c>
      <c r="C17" s="141">
        <v>5.5</v>
      </c>
      <c r="D17" s="141">
        <v>0.9</v>
      </c>
      <c r="E17" s="141">
        <v>0.7</v>
      </c>
      <c r="F17" s="141">
        <v>1.6</v>
      </c>
      <c r="G17" s="141">
        <v>17</v>
      </c>
      <c r="H17" s="141">
        <v>364</v>
      </c>
      <c r="I17" s="141">
        <v>43.2</v>
      </c>
      <c r="J17" s="141">
        <v>60.7</v>
      </c>
      <c r="K17" s="141">
        <v>11.1</v>
      </c>
      <c r="L17" s="141">
        <v>4.62</v>
      </c>
      <c r="M17" s="141">
        <v>1.59</v>
      </c>
      <c r="N17" s="142">
        <v>3.03</v>
      </c>
    </row>
    <row r="18" spans="1:14" ht="12.75">
      <c r="A18" s="122">
        <v>140</v>
      </c>
      <c r="B18" s="124">
        <v>14</v>
      </c>
      <c r="C18" s="141">
        <v>6</v>
      </c>
      <c r="D18" s="141">
        <v>1</v>
      </c>
      <c r="E18" s="141">
        <v>0.7</v>
      </c>
      <c r="F18" s="141">
        <v>1.75</v>
      </c>
      <c r="G18" s="141">
        <v>20.399999999999999</v>
      </c>
      <c r="H18" s="141">
        <v>605</v>
      </c>
      <c r="I18" s="141">
        <v>62.7</v>
      </c>
      <c r="J18" s="141">
        <v>86.4</v>
      </c>
      <c r="K18" s="141">
        <v>14.8</v>
      </c>
      <c r="L18" s="141">
        <v>5.45</v>
      </c>
      <c r="M18" s="141">
        <v>1.75</v>
      </c>
      <c r="N18" s="142">
        <v>3.37</v>
      </c>
    </row>
    <row r="19" spans="1:14" ht="12.75">
      <c r="A19" s="122">
        <v>160</v>
      </c>
      <c r="B19" s="124">
        <v>16</v>
      </c>
      <c r="C19" s="141">
        <v>6.5</v>
      </c>
      <c r="D19" s="141">
        <v>1.05</v>
      </c>
      <c r="E19" s="141">
        <v>0.75</v>
      </c>
      <c r="F19" s="141">
        <v>1.84</v>
      </c>
      <c r="G19" s="141">
        <v>24</v>
      </c>
      <c r="H19" s="141">
        <v>925</v>
      </c>
      <c r="I19" s="141">
        <v>85.3</v>
      </c>
      <c r="J19" s="141">
        <v>116</v>
      </c>
      <c r="K19" s="141">
        <v>18.3</v>
      </c>
      <c r="L19" s="141">
        <v>6.21</v>
      </c>
      <c r="M19" s="141">
        <v>1.89</v>
      </c>
      <c r="N19" s="142">
        <v>3.56</v>
      </c>
    </row>
    <row r="20" spans="1:14" ht="12.75">
      <c r="A20" s="122">
        <v>180</v>
      </c>
      <c r="B20" s="124">
        <v>18</v>
      </c>
      <c r="C20" s="141">
        <v>7</v>
      </c>
      <c r="D20" s="141">
        <v>1.1000000000000001</v>
      </c>
      <c r="E20" s="141">
        <v>0.8</v>
      </c>
      <c r="F20" s="141">
        <v>1.92</v>
      </c>
      <c r="G20" s="141">
        <v>28</v>
      </c>
      <c r="H20" s="141">
        <v>1350</v>
      </c>
      <c r="I20" s="141">
        <v>114</v>
      </c>
      <c r="J20" s="141">
        <v>150</v>
      </c>
      <c r="K20" s="141">
        <v>22.4</v>
      </c>
      <c r="L20" s="141">
        <v>6.95</v>
      </c>
      <c r="M20" s="141">
        <v>2.02</v>
      </c>
      <c r="N20" s="142">
        <v>3.75</v>
      </c>
    </row>
    <row r="21" spans="1:14" ht="12.75">
      <c r="A21" s="122">
        <v>200</v>
      </c>
      <c r="B21" s="124">
        <v>20</v>
      </c>
      <c r="C21" s="141">
        <v>7.5</v>
      </c>
      <c r="D21" s="141">
        <v>1.1499999999999999</v>
      </c>
      <c r="E21" s="141">
        <v>0.85</v>
      </c>
      <c r="F21" s="141">
        <v>2.0099999999999998</v>
      </c>
      <c r="G21" s="141">
        <v>32.200000000000003</v>
      </c>
      <c r="H21" s="141">
        <v>1910</v>
      </c>
      <c r="I21" s="141">
        <v>148</v>
      </c>
      <c r="J21" s="141">
        <v>191</v>
      </c>
      <c r="K21" s="141">
        <v>27</v>
      </c>
      <c r="L21" s="141">
        <v>7.7</v>
      </c>
      <c r="M21" s="141">
        <v>2.14</v>
      </c>
      <c r="N21" s="142">
        <v>3.94</v>
      </c>
    </row>
    <row r="22" spans="1:14" ht="12.75">
      <c r="A22" s="122">
        <v>220</v>
      </c>
      <c r="B22" s="124">
        <v>22</v>
      </c>
      <c r="C22" s="141">
        <v>8</v>
      </c>
      <c r="D22" s="141">
        <v>1.25</v>
      </c>
      <c r="E22" s="141">
        <v>0.9</v>
      </c>
      <c r="F22" s="141">
        <v>2.14</v>
      </c>
      <c r="G22" s="141">
        <v>37.4</v>
      </c>
      <c r="H22" s="141">
        <v>26900</v>
      </c>
      <c r="I22" s="141">
        <v>197</v>
      </c>
      <c r="J22" s="141">
        <v>245</v>
      </c>
      <c r="K22" s="141">
        <v>33.6</v>
      </c>
      <c r="L22" s="141">
        <v>8.48</v>
      </c>
      <c r="M22" s="141">
        <v>2.2999999999999998</v>
      </c>
      <c r="N22" s="142">
        <v>4.2</v>
      </c>
    </row>
    <row r="23" spans="1:14" ht="12.75">
      <c r="A23" s="129">
        <v>240</v>
      </c>
      <c r="B23" s="130">
        <v>24</v>
      </c>
      <c r="C23" s="143">
        <v>8.5</v>
      </c>
      <c r="D23" s="143">
        <v>1.3</v>
      </c>
      <c r="E23" s="143">
        <v>0.95</v>
      </c>
      <c r="F23" s="143">
        <v>2.23</v>
      </c>
      <c r="G23" s="143">
        <v>42.3</v>
      </c>
      <c r="H23" s="143">
        <v>3600</v>
      </c>
      <c r="I23" s="143">
        <v>248</v>
      </c>
      <c r="J23" s="143">
        <v>300</v>
      </c>
      <c r="K23" s="143">
        <v>39.6</v>
      </c>
      <c r="L23" s="143">
        <v>9.2200000000000006</v>
      </c>
      <c r="M23" s="143">
        <v>2.42</v>
      </c>
      <c r="N23" s="144">
        <v>4.3899999999999997</v>
      </c>
    </row>
  </sheetData>
  <pageMargins left="0.7" right="0.7" top="0.75" bottom="0.75" header="0.3" footer="0.3"/>
  <pageSetup paperSize="9" orientation="portrait" verticalDpi="0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Calculation Sheet</vt:lpstr>
      <vt:lpstr>Corner Gusset plate</vt:lpstr>
      <vt:lpstr>Section Table</vt:lpstr>
      <vt:lpstr>no</vt:lpstr>
      <vt:lpstr>'Calculation Sheet'!Print_Area</vt:lpstr>
      <vt:lpstr>'Corner Gusset plate'!Print_Area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</dc:creator>
  <cp:lastModifiedBy>Iman</cp:lastModifiedBy>
  <cp:lastPrinted>2014-01-16T14:56:35Z</cp:lastPrinted>
  <dcterms:created xsi:type="dcterms:W3CDTF">2013-05-14T04:18:07Z</dcterms:created>
  <dcterms:modified xsi:type="dcterms:W3CDTF">2014-01-16T15:14:07Z</dcterms:modified>
</cp:coreProperties>
</file>