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270" windowHeight="8415" tabRatio="930" firstSheet="6" activeTab="11"/>
  </bookViews>
  <sheets>
    <sheet name="فروش - محصول A" sheetId="1" r:id="rId1"/>
    <sheet name="فروش محصول B" sheetId="2" r:id="rId2"/>
    <sheet name="فروش محصول C" sheetId="3" r:id="rId3"/>
    <sheet name="فروش محصولات " sheetId="4" r:id="rId4"/>
    <sheet name="گردش قیمت تمام شده - محصولات" sheetId="10" r:id="rId5"/>
    <sheet name="هزینه سربار تولیدی " sheetId="11" r:id="rId6"/>
    <sheet name="هزینه اداری " sheetId="13" r:id="rId7"/>
    <sheet name="دستمزد مستقیم" sheetId="12" r:id="rId8"/>
    <sheet name="توزیع و فروش " sheetId="14" r:id="rId9"/>
    <sheet name="جدول دارایی های ثابت مشهود " sheetId="15" r:id="rId10"/>
    <sheet name="سود و زیان " sheetId="16" r:id="rId11"/>
    <sheet name="ترازنامه" sheetId="18" r:id="rId12"/>
    <sheet name="گردش جریان وجه نقد" sheetId="19" r:id="rId13"/>
    <sheet name="Sheet1" sheetId="20" r:id="rId14"/>
    <sheet name="sheet2" sheetId="21" r:id="rId15"/>
    <sheet name="bom" sheetId="23" r:id="rId16"/>
    <sheet name="گردش توليد و مواد ( A)" sheetId="22" r:id="rId17"/>
    <sheet name="گردش توليد و مواد B" sheetId="24" r:id="rId18"/>
    <sheet name="گردش توليد و مواد C" sheetId="25" r:id="rId19"/>
    <sheet name="نیاز مواد اولیه - مقادیر" sheetId="26" r:id="rId20"/>
  </sheets>
  <calcPr calcId="144525"/>
</workbook>
</file>

<file path=xl/calcChain.xml><?xml version="1.0" encoding="utf-8"?>
<calcChain xmlns="http://schemas.openxmlformats.org/spreadsheetml/2006/main">
  <c r="K27" i="18" l="1"/>
  <c r="K21" i="18"/>
  <c r="K20" i="18"/>
  <c r="K14" i="18"/>
  <c r="Q20" i="18"/>
  <c r="Q19" i="18"/>
  <c r="Q14" i="18"/>
  <c r="Q13" i="18"/>
  <c r="Q10" i="18"/>
  <c r="E23" i="19"/>
  <c r="E22" i="19"/>
  <c r="H23" i="19"/>
  <c r="H22" i="19"/>
  <c r="K23" i="19"/>
  <c r="K22" i="19"/>
  <c r="N23" i="19"/>
  <c r="N22" i="19"/>
  <c r="M24" i="19"/>
  <c r="E21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N10" i="19" l="1"/>
  <c r="M10" i="19" s="1"/>
  <c r="L10" i="19" s="1"/>
  <c r="K10" i="19" s="1"/>
  <c r="J10" i="19" s="1"/>
  <c r="I10" i="19" s="1"/>
  <c r="H10" i="19" s="1"/>
  <c r="G10" i="19" s="1"/>
  <c r="F10" i="19" s="1"/>
  <c r="E10" i="19" s="1"/>
  <c r="P11" i="19"/>
  <c r="O10" i="19"/>
  <c r="P10" i="19"/>
  <c r="E7" i="19"/>
  <c r="F7" i="19"/>
  <c r="G7" i="19"/>
  <c r="H7" i="19"/>
  <c r="I7" i="19"/>
  <c r="J7" i="19"/>
  <c r="K7" i="19"/>
  <c r="L7" i="19"/>
  <c r="M7" i="19"/>
  <c r="N7" i="19"/>
  <c r="O7" i="19"/>
  <c r="P7" i="19"/>
  <c r="P6" i="19"/>
  <c r="L29" i="18"/>
  <c r="L28" i="18"/>
  <c r="L27" i="18"/>
  <c r="L21" i="18"/>
  <c r="L20" i="18"/>
  <c r="L14" i="18"/>
  <c r="L13" i="18"/>
  <c r="L12" i="18"/>
  <c r="L9" i="18"/>
  <c r="R20" i="18"/>
  <c r="R19" i="18"/>
  <c r="R14" i="18"/>
  <c r="R13" i="18"/>
  <c r="R11" i="18"/>
  <c r="R10" i="18"/>
  <c r="R9" i="18"/>
  <c r="N4" i="3"/>
  <c r="O4" i="3"/>
  <c r="N4" i="2"/>
  <c r="O4" i="2"/>
  <c r="N4" i="1"/>
  <c r="O4" i="1"/>
  <c r="O34" i="26"/>
  <c r="O32" i="26"/>
  <c r="O29" i="26"/>
  <c r="N34" i="26"/>
  <c r="M34" i="26" s="1"/>
  <c r="L34" i="26" s="1"/>
  <c r="K34" i="26" s="1"/>
  <c r="J34" i="26" s="1"/>
  <c r="I34" i="26" s="1"/>
  <c r="H34" i="26" s="1"/>
  <c r="G34" i="26" s="1"/>
  <c r="F34" i="26" s="1"/>
  <c r="E34" i="26" s="1"/>
  <c r="D34" i="26" s="1"/>
  <c r="C32" i="26"/>
  <c r="N29" i="26"/>
  <c r="M29" i="26" s="1"/>
  <c r="L29" i="26" s="1"/>
  <c r="K29" i="26" s="1"/>
  <c r="J29" i="26" s="1"/>
  <c r="I29" i="26" s="1"/>
  <c r="H29" i="26" s="1"/>
  <c r="G29" i="26" s="1"/>
  <c r="F29" i="26" s="1"/>
  <c r="E29" i="26" s="1"/>
  <c r="D29" i="26" s="1"/>
  <c r="O23" i="26"/>
  <c r="O18" i="26"/>
  <c r="N23" i="26"/>
  <c r="M23" i="26" s="1"/>
  <c r="L23" i="26" s="1"/>
  <c r="K23" i="26" s="1"/>
  <c r="J23" i="26" s="1"/>
  <c r="I23" i="26" s="1"/>
  <c r="H23" i="26" s="1"/>
  <c r="G23" i="26" s="1"/>
  <c r="F23" i="26" s="1"/>
  <c r="E23" i="26" s="1"/>
  <c r="D23" i="26" s="1"/>
  <c r="C21" i="26"/>
  <c r="N18" i="26"/>
  <c r="M18" i="26" s="1"/>
  <c r="O12" i="26"/>
  <c r="N12" i="26" s="1"/>
  <c r="M12" i="26" s="1"/>
  <c r="L12" i="26" s="1"/>
  <c r="K12" i="26" s="1"/>
  <c r="J12" i="26" s="1"/>
  <c r="I12" i="26" s="1"/>
  <c r="H12" i="26" s="1"/>
  <c r="G12" i="26" s="1"/>
  <c r="F12" i="26" s="1"/>
  <c r="E12" i="26" s="1"/>
  <c r="D12" i="26" s="1"/>
  <c r="C10" i="26"/>
  <c r="O10" i="26"/>
  <c r="M7" i="26"/>
  <c r="L7" i="26" s="1"/>
  <c r="K7" i="26" s="1"/>
  <c r="J7" i="26" s="1"/>
  <c r="I7" i="26" s="1"/>
  <c r="H7" i="26" s="1"/>
  <c r="G7" i="26" s="1"/>
  <c r="F7" i="26" s="1"/>
  <c r="E7" i="26" s="1"/>
  <c r="D7" i="26" s="1"/>
  <c r="N7" i="26"/>
  <c r="O7" i="26"/>
  <c r="S7" i="3"/>
  <c r="S7" i="2"/>
  <c r="S7" i="1"/>
  <c r="M4" i="1"/>
  <c r="O5" i="1"/>
  <c r="C15" i="4"/>
  <c r="E15" i="4"/>
  <c r="F15" i="4"/>
  <c r="G15" i="4"/>
  <c r="H15" i="4"/>
  <c r="I15" i="4"/>
  <c r="J15" i="4"/>
  <c r="K15" i="4"/>
  <c r="L15" i="4"/>
  <c r="M15" i="4"/>
  <c r="N15" i="4"/>
  <c r="O15" i="4"/>
  <c r="P15" i="4"/>
  <c r="C16" i="4"/>
  <c r="E16" i="4"/>
  <c r="F16" i="4"/>
  <c r="G16" i="4"/>
  <c r="H16" i="4"/>
  <c r="I16" i="4"/>
  <c r="J16" i="4"/>
  <c r="K16" i="4"/>
  <c r="L16" i="4"/>
  <c r="M16" i="4"/>
  <c r="N16" i="4"/>
  <c r="O16" i="4"/>
  <c r="P16" i="4"/>
  <c r="C17" i="4"/>
  <c r="E17" i="4"/>
  <c r="F17" i="4"/>
  <c r="G17" i="4"/>
  <c r="H17" i="4"/>
  <c r="I17" i="4"/>
  <c r="J17" i="4"/>
  <c r="K17" i="4"/>
  <c r="L17" i="4"/>
  <c r="M17" i="4"/>
  <c r="N17" i="4"/>
  <c r="O17" i="4"/>
  <c r="P17" i="4"/>
  <c r="C18" i="4"/>
  <c r="E18" i="4"/>
  <c r="F18" i="4"/>
  <c r="G18" i="4"/>
  <c r="H18" i="4"/>
  <c r="I18" i="4"/>
  <c r="J18" i="4"/>
  <c r="K18" i="4"/>
  <c r="L18" i="4"/>
  <c r="M18" i="4"/>
  <c r="N18" i="4"/>
  <c r="O18" i="4"/>
  <c r="P18" i="4"/>
  <c r="C19" i="4"/>
  <c r="E19" i="4"/>
  <c r="F19" i="4"/>
  <c r="G19" i="4"/>
  <c r="H19" i="4"/>
  <c r="I19" i="4"/>
  <c r="J19" i="4"/>
  <c r="K19" i="4"/>
  <c r="L19" i="4"/>
  <c r="M19" i="4"/>
  <c r="N19" i="4"/>
  <c r="O19" i="4"/>
  <c r="P19" i="4"/>
  <c r="C20" i="4"/>
  <c r="E20" i="4"/>
  <c r="F20" i="4"/>
  <c r="G20" i="4"/>
  <c r="H20" i="4"/>
  <c r="I20" i="4"/>
  <c r="J20" i="4"/>
  <c r="K20" i="4"/>
  <c r="L20" i="4"/>
  <c r="M20" i="4"/>
  <c r="N20" i="4"/>
  <c r="O20" i="4"/>
  <c r="P20" i="4"/>
  <c r="C21" i="4"/>
  <c r="E21" i="4"/>
  <c r="F21" i="4"/>
  <c r="G21" i="4"/>
  <c r="H21" i="4"/>
  <c r="I21" i="4"/>
  <c r="J21" i="4"/>
  <c r="K21" i="4"/>
  <c r="L21" i="4"/>
  <c r="M21" i="4"/>
  <c r="N21" i="4"/>
  <c r="O21" i="4"/>
  <c r="P21" i="4"/>
  <c r="C22" i="4"/>
  <c r="E22" i="4"/>
  <c r="F22" i="4"/>
  <c r="G22" i="4"/>
  <c r="H22" i="4"/>
  <c r="I22" i="4"/>
  <c r="J22" i="4"/>
  <c r="K22" i="4"/>
  <c r="L22" i="4"/>
  <c r="M22" i="4"/>
  <c r="N22" i="4"/>
  <c r="O22" i="4"/>
  <c r="P22" i="4"/>
  <c r="C23" i="4"/>
  <c r="E23" i="4"/>
  <c r="F23" i="4"/>
  <c r="G23" i="4"/>
  <c r="H23" i="4"/>
  <c r="I23" i="4"/>
  <c r="J23" i="4"/>
  <c r="K23" i="4"/>
  <c r="L23" i="4"/>
  <c r="M23" i="4"/>
  <c r="N23" i="4"/>
  <c r="O23" i="4"/>
  <c r="P23" i="4"/>
  <c r="C24" i="4"/>
  <c r="E24" i="4"/>
  <c r="F24" i="4"/>
  <c r="G24" i="4"/>
  <c r="H24" i="4"/>
  <c r="I24" i="4"/>
  <c r="J24" i="4"/>
  <c r="K24" i="4"/>
  <c r="L24" i="4"/>
  <c r="M24" i="4"/>
  <c r="N24" i="4"/>
  <c r="O24" i="4"/>
  <c r="P24" i="4"/>
  <c r="C25" i="4"/>
  <c r="E25" i="4"/>
  <c r="F25" i="4"/>
  <c r="G25" i="4"/>
  <c r="H25" i="4"/>
  <c r="I25" i="4"/>
  <c r="J25" i="4"/>
  <c r="K25" i="4"/>
  <c r="L25" i="4"/>
  <c r="M25" i="4"/>
  <c r="N25" i="4"/>
  <c r="O25" i="4"/>
  <c r="P25" i="4"/>
  <c r="C14" i="4"/>
  <c r="E14" i="4"/>
  <c r="F14" i="4"/>
  <c r="G14" i="4"/>
  <c r="H14" i="4"/>
  <c r="I14" i="4"/>
  <c r="J14" i="4"/>
  <c r="K14" i="4"/>
  <c r="L14" i="4"/>
  <c r="M14" i="4"/>
  <c r="N14" i="4"/>
  <c r="O14" i="4"/>
  <c r="P14" i="4"/>
  <c r="S8" i="4"/>
  <c r="S6" i="4"/>
  <c r="P26" i="4"/>
  <c r="O26" i="4"/>
  <c r="N26" i="4"/>
  <c r="M26" i="4"/>
  <c r="L26" i="4"/>
  <c r="K26" i="4"/>
  <c r="J26" i="4"/>
  <c r="I26" i="4"/>
  <c r="H26" i="4"/>
  <c r="G26" i="4"/>
  <c r="F26" i="4"/>
  <c r="E26" i="4"/>
  <c r="C26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D10" i="4"/>
  <c r="P26" i="3"/>
  <c r="O26" i="3"/>
  <c r="N26" i="3"/>
  <c r="M26" i="3"/>
  <c r="L26" i="3"/>
  <c r="K26" i="3"/>
  <c r="J26" i="3"/>
  <c r="I26" i="3"/>
  <c r="H26" i="3"/>
  <c r="G26" i="3"/>
  <c r="F26" i="3"/>
  <c r="E26" i="3"/>
  <c r="C26" i="3"/>
  <c r="D25" i="3"/>
  <c r="D24" i="3"/>
  <c r="D23" i="3"/>
  <c r="D22" i="3"/>
  <c r="D21" i="3"/>
  <c r="D20" i="3"/>
  <c r="D19" i="3"/>
  <c r="D18" i="3"/>
  <c r="D17" i="3"/>
  <c r="D16" i="3"/>
  <c r="D15" i="3"/>
  <c r="D14" i="3"/>
  <c r="D26" i="3" s="1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D10" i="3"/>
  <c r="P8" i="3"/>
  <c r="O8" i="3"/>
  <c r="N7" i="3"/>
  <c r="N9" i="3" s="1"/>
  <c r="N11" i="3" s="1"/>
  <c r="P7" i="3"/>
  <c r="P9" i="3" s="1"/>
  <c r="P11" i="3" s="1"/>
  <c r="O7" i="3"/>
  <c r="O9" i="3" s="1"/>
  <c r="O11" i="3" s="1"/>
  <c r="N5" i="3"/>
  <c r="N8" i="3" s="1"/>
  <c r="M4" i="3"/>
  <c r="M7" i="3" s="1"/>
  <c r="M11" i="25" s="1"/>
  <c r="P26" i="2"/>
  <c r="O26" i="2"/>
  <c r="N26" i="2"/>
  <c r="M26" i="2"/>
  <c r="L26" i="2"/>
  <c r="K26" i="2"/>
  <c r="J26" i="2"/>
  <c r="I26" i="2"/>
  <c r="H26" i="2"/>
  <c r="G26" i="2"/>
  <c r="F26" i="2"/>
  <c r="E26" i="2"/>
  <c r="C26" i="2"/>
  <c r="D25" i="2"/>
  <c r="D24" i="2"/>
  <c r="D23" i="2"/>
  <c r="D22" i="2"/>
  <c r="D21" i="2"/>
  <c r="D20" i="2"/>
  <c r="D19" i="2"/>
  <c r="D18" i="2"/>
  <c r="D17" i="2"/>
  <c r="D16" i="2"/>
  <c r="D15" i="2"/>
  <c r="D26" i="2" s="1"/>
  <c r="D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D10" i="2"/>
  <c r="P8" i="2"/>
  <c r="O8" i="2"/>
  <c r="N8" i="2"/>
  <c r="P7" i="2"/>
  <c r="P9" i="2" s="1"/>
  <c r="P11" i="2" s="1"/>
  <c r="O7" i="2"/>
  <c r="O11" i="24" s="1"/>
  <c r="N7" i="2"/>
  <c r="N5" i="2"/>
  <c r="M5" i="2"/>
  <c r="M8" i="2" s="1"/>
  <c r="M4" i="2"/>
  <c r="M7" i="2" s="1"/>
  <c r="M9" i="2" s="1"/>
  <c r="M11" i="2" s="1"/>
  <c r="D10" i="1"/>
  <c r="P40" i="25"/>
  <c r="P8" i="25"/>
  <c r="P8" i="24"/>
  <c r="P8" i="22"/>
  <c r="E25" i="19"/>
  <c r="F25" i="19"/>
  <c r="G25" i="19"/>
  <c r="H25" i="19"/>
  <c r="I25" i="19"/>
  <c r="J25" i="19"/>
  <c r="K25" i="19"/>
  <c r="L25" i="19"/>
  <c r="M25" i="19"/>
  <c r="N25" i="19"/>
  <c r="O25" i="19"/>
  <c r="D9" i="19"/>
  <c r="J29" i="16"/>
  <c r="I31" i="16" s="1"/>
  <c r="N9" i="2" l="1"/>
  <c r="N11" i="2" s="1"/>
  <c r="L4" i="2"/>
  <c r="K4" i="2" s="1"/>
  <c r="P11" i="25"/>
  <c r="O9" i="2"/>
  <c r="O11" i="2" s="1"/>
  <c r="P11" i="24"/>
  <c r="L18" i="26"/>
  <c r="K18" i="26" s="1"/>
  <c r="N11" i="25"/>
  <c r="O11" i="25"/>
  <c r="N11" i="24"/>
  <c r="M11" i="24"/>
  <c r="S7" i="4"/>
  <c r="L4" i="3"/>
  <c r="K4" i="3" s="1"/>
  <c r="M5" i="3"/>
  <c r="K7" i="2"/>
  <c r="K11" i="24" s="1"/>
  <c r="J4" i="2"/>
  <c r="L7" i="2"/>
  <c r="L11" i="24" s="1"/>
  <c r="L5" i="2"/>
  <c r="D15" i="12"/>
  <c r="D16" i="12" s="1"/>
  <c r="E15" i="12"/>
  <c r="E16" i="12" s="1"/>
  <c r="F15" i="12"/>
  <c r="F16" i="12" s="1"/>
  <c r="G15" i="12"/>
  <c r="G16" i="12" s="1"/>
  <c r="H15" i="12"/>
  <c r="H16" i="12" s="1"/>
  <c r="I15" i="12"/>
  <c r="I16" i="12" s="1"/>
  <c r="J15" i="12"/>
  <c r="J16" i="12" s="1"/>
  <c r="K15" i="12"/>
  <c r="K16" i="12" s="1"/>
  <c r="L15" i="12"/>
  <c r="L16" i="12" s="1"/>
  <c r="M15" i="12"/>
  <c r="M16" i="12" s="1"/>
  <c r="N15" i="12"/>
  <c r="N16" i="12" s="1"/>
  <c r="O15" i="12"/>
  <c r="O16" i="12" s="1"/>
  <c r="C6" i="12"/>
  <c r="C7" i="12"/>
  <c r="C8" i="12"/>
  <c r="C9" i="12"/>
  <c r="C10" i="12"/>
  <c r="C11" i="12"/>
  <c r="C12" i="12"/>
  <c r="C13" i="12"/>
  <c r="C14" i="12"/>
  <c r="C5" i="12"/>
  <c r="C15" i="12" s="1"/>
  <c r="D7" i="19"/>
  <c r="Q14" i="10"/>
  <c r="J87" i="20"/>
  <c r="H87" i="20" s="1"/>
  <c r="H88" i="20" s="1"/>
  <c r="S21" i="21"/>
  <c r="S20" i="21"/>
  <c r="D42" i="24"/>
  <c r="S31" i="21"/>
  <c r="P42" i="25" s="1"/>
  <c r="O7" i="1"/>
  <c r="O11" i="22" s="1"/>
  <c r="P7" i="1"/>
  <c r="P7" i="4" s="1"/>
  <c r="N7" i="23"/>
  <c r="N8" i="23"/>
  <c r="N9" i="23"/>
  <c r="N10" i="23"/>
  <c r="N11" i="23"/>
  <c r="L10" i="23"/>
  <c r="M7" i="23"/>
  <c r="M8" i="23"/>
  <c r="M9" i="23"/>
  <c r="M10" i="23"/>
  <c r="M6" i="23"/>
  <c r="I62" i="21"/>
  <c r="Q63" i="21"/>
  <c r="Q46" i="21"/>
  <c r="Q39" i="21"/>
  <c r="J19" i="20"/>
  <c r="J29" i="20" s="1"/>
  <c r="J37" i="20" s="1"/>
  <c r="T7" i="10"/>
  <c r="V7" i="10"/>
  <c r="V6" i="10"/>
  <c r="V5" i="10"/>
  <c r="O8" i="1"/>
  <c r="P8" i="1"/>
  <c r="D8" i="19"/>
  <c r="D10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12" i="19"/>
  <c r="M15" i="10"/>
  <c r="N17" i="10"/>
  <c r="N18" i="10"/>
  <c r="N16" i="10"/>
  <c r="Y8" i="12"/>
  <c r="Y7" i="12"/>
  <c r="Y6" i="12"/>
  <c r="X5" i="12"/>
  <c r="X6" i="12"/>
  <c r="X9" i="12" s="1"/>
  <c r="X7" i="12"/>
  <c r="X8" i="12"/>
  <c r="W8" i="12"/>
  <c r="W7" i="12"/>
  <c r="W6" i="12"/>
  <c r="M16" i="15"/>
  <c r="N12" i="15"/>
  <c r="N16" i="15" s="1"/>
  <c r="O12" i="15"/>
  <c r="O16" i="15" s="1"/>
  <c r="AK16" i="15"/>
  <c r="AK17" i="15" s="1"/>
  <c r="AL16" i="15"/>
  <c r="AL17" i="15" s="1"/>
  <c r="AM16" i="15"/>
  <c r="AM17" i="15" s="1"/>
  <c r="AN16" i="15"/>
  <c r="AN17" i="15" s="1"/>
  <c r="AO16" i="15"/>
  <c r="AO17" i="15" s="1"/>
  <c r="AP16" i="15"/>
  <c r="AP17" i="15" s="1"/>
  <c r="AQ16" i="15"/>
  <c r="AQ17" i="15" s="1"/>
  <c r="AR16" i="15"/>
  <c r="AR17" i="15" s="1"/>
  <c r="AS16" i="15"/>
  <c r="AS17" i="15" s="1"/>
  <c r="AT16" i="15"/>
  <c r="AT17" i="15" s="1"/>
  <c r="AU16" i="15"/>
  <c r="AU17" i="15" s="1"/>
  <c r="AV16" i="15"/>
  <c r="AV17" i="15" s="1"/>
  <c r="AL13" i="15"/>
  <c r="AM13" i="15"/>
  <c r="AN13" i="15"/>
  <c r="AO13" i="15"/>
  <c r="AP13" i="15"/>
  <c r="AQ13" i="15"/>
  <c r="AR13" i="15"/>
  <c r="AS13" i="15"/>
  <c r="AT13" i="15"/>
  <c r="AU13" i="15"/>
  <c r="AV13" i="15"/>
  <c r="AK13" i="15"/>
  <c r="S15" i="15"/>
  <c r="S16" i="15" s="1"/>
  <c r="T15" i="15"/>
  <c r="T16" i="15" s="1"/>
  <c r="U15" i="15"/>
  <c r="U16" i="15" s="1"/>
  <c r="V15" i="15"/>
  <c r="V16" i="15" s="1"/>
  <c r="S12" i="15"/>
  <c r="T12" i="15"/>
  <c r="U12" i="15"/>
  <c r="V12" i="15"/>
  <c r="P11" i="15"/>
  <c r="L11" i="15" s="1"/>
  <c r="P15" i="15"/>
  <c r="L15" i="15" s="1"/>
  <c r="P5" i="15"/>
  <c r="L5" i="15" s="1"/>
  <c r="W6" i="15"/>
  <c r="W7" i="15"/>
  <c r="R7" i="15" s="1"/>
  <c r="W8" i="15"/>
  <c r="W9" i="15"/>
  <c r="R9" i="15" s="1"/>
  <c r="W10" i="15"/>
  <c r="R10" i="15" s="1"/>
  <c r="W11" i="15"/>
  <c r="R11" i="15" s="1"/>
  <c r="W13" i="15"/>
  <c r="R13" i="15" s="1"/>
  <c r="I13" i="15" s="1"/>
  <c r="W14" i="15"/>
  <c r="J14" i="15" s="1"/>
  <c r="W5" i="15"/>
  <c r="R5" i="15" s="1"/>
  <c r="C20" i="11"/>
  <c r="C21" i="11"/>
  <c r="C22" i="11"/>
  <c r="C23" i="11"/>
  <c r="C24" i="11"/>
  <c r="C25" i="11"/>
  <c r="C26" i="11"/>
  <c r="E27" i="11"/>
  <c r="E30" i="11" s="1"/>
  <c r="F27" i="11"/>
  <c r="F30" i="11" s="1"/>
  <c r="G27" i="11"/>
  <c r="G30" i="11" s="1"/>
  <c r="H27" i="11"/>
  <c r="H30" i="11" s="1"/>
  <c r="I27" i="11"/>
  <c r="I30" i="11" s="1"/>
  <c r="J27" i="11"/>
  <c r="J30" i="11" s="1"/>
  <c r="K27" i="11"/>
  <c r="K30" i="11" s="1"/>
  <c r="L27" i="11"/>
  <c r="L30" i="11" s="1"/>
  <c r="M27" i="11"/>
  <c r="M30" i="11" s="1"/>
  <c r="N27" i="11"/>
  <c r="N30" i="11" s="1"/>
  <c r="E28" i="11"/>
  <c r="E31" i="11" s="1"/>
  <c r="F28" i="11"/>
  <c r="F31" i="11" s="1"/>
  <c r="G28" i="11"/>
  <c r="G31" i="11" s="1"/>
  <c r="H28" i="11"/>
  <c r="H31" i="11" s="1"/>
  <c r="I28" i="11"/>
  <c r="I31" i="11" s="1"/>
  <c r="J28" i="11"/>
  <c r="J31" i="11" s="1"/>
  <c r="K28" i="11"/>
  <c r="K31" i="11" s="1"/>
  <c r="L28" i="11"/>
  <c r="L31" i="11" s="1"/>
  <c r="M28" i="11"/>
  <c r="M31" i="11" s="1"/>
  <c r="N28" i="11"/>
  <c r="N31" i="11" s="1"/>
  <c r="O27" i="11"/>
  <c r="O30" i="11" s="1"/>
  <c r="C20" i="14"/>
  <c r="C21" i="14"/>
  <c r="C22" i="14"/>
  <c r="C23" i="14"/>
  <c r="C24" i="14"/>
  <c r="C25" i="14"/>
  <c r="C26" i="14"/>
  <c r="C27" i="14"/>
  <c r="C28" i="14"/>
  <c r="C29" i="14"/>
  <c r="C20" i="13"/>
  <c r="C21" i="13"/>
  <c r="C22" i="13"/>
  <c r="C23" i="13"/>
  <c r="C24" i="13"/>
  <c r="C25" i="13"/>
  <c r="C26" i="13"/>
  <c r="C27" i="13"/>
  <c r="E28" i="13"/>
  <c r="E31" i="13" s="1"/>
  <c r="F28" i="13"/>
  <c r="F31" i="13" s="1"/>
  <c r="G28" i="13"/>
  <c r="G31" i="13" s="1"/>
  <c r="H28" i="13"/>
  <c r="H31" i="13" s="1"/>
  <c r="I28" i="13"/>
  <c r="I31" i="13" s="1"/>
  <c r="J28" i="13"/>
  <c r="J31" i="13" s="1"/>
  <c r="K28" i="13"/>
  <c r="K31" i="13" s="1"/>
  <c r="L28" i="13"/>
  <c r="L31" i="13" s="1"/>
  <c r="M28" i="13"/>
  <c r="M31" i="13" s="1"/>
  <c r="N28" i="13"/>
  <c r="N31" i="13" s="1"/>
  <c r="E29" i="13"/>
  <c r="E32" i="13" s="1"/>
  <c r="F29" i="13"/>
  <c r="F32" i="13" s="1"/>
  <c r="G29" i="13"/>
  <c r="G32" i="13" s="1"/>
  <c r="H29" i="13"/>
  <c r="H32" i="13" s="1"/>
  <c r="I29" i="13"/>
  <c r="I32" i="13" s="1"/>
  <c r="J29" i="13"/>
  <c r="J32" i="13" s="1"/>
  <c r="K29" i="13"/>
  <c r="K32" i="13" s="1"/>
  <c r="L29" i="13"/>
  <c r="L32" i="13" s="1"/>
  <c r="M29" i="13"/>
  <c r="M32" i="13" s="1"/>
  <c r="N29" i="13"/>
  <c r="N32" i="13" s="1"/>
  <c r="O28" i="13"/>
  <c r="O31" i="13" s="1"/>
  <c r="E30" i="14"/>
  <c r="E33" i="14" s="1"/>
  <c r="F30" i="14"/>
  <c r="F33" i="14" s="1"/>
  <c r="G30" i="14"/>
  <c r="G33" i="14" s="1"/>
  <c r="H30" i="14"/>
  <c r="H33" i="14" s="1"/>
  <c r="I30" i="14"/>
  <c r="I33" i="14" s="1"/>
  <c r="J30" i="14"/>
  <c r="J33" i="14" s="1"/>
  <c r="K30" i="14"/>
  <c r="K33" i="14" s="1"/>
  <c r="L30" i="14"/>
  <c r="L33" i="14" s="1"/>
  <c r="M30" i="14"/>
  <c r="M33" i="14" s="1"/>
  <c r="N30" i="14"/>
  <c r="N33" i="14" s="1"/>
  <c r="E31" i="14"/>
  <c r="E34" i="14" s="1"/>
  <c r="F31" i="14"/>
  <c r="F34" i="14" s="1"/>
  <c r="G31" i="14"/>
  <c r="G34" i="14" s="1"/>
  <c r="H31" i="14"/>
  <c r="H34" i="14" s="1"/>
  <c r="I31" i="14"/>
  <c r="I34" i="14" s="1"/>
  <c r="J31" i="14"/>
  <c r="J34" i="14" s="1"/>
  <c r="K31" i="14"/>
  <c r="K34" i="14" s="1"/>
  <c r="L31" i="14"/>
  <c r="L34" i="14" s="1"/>
  <c r="M31" i="14"/>
  <c r="M34" i="14" s="1"/>
  <c r="N31" i="14"/>
  <c r="N34" i="14" s="1"/>
  <c r="O30" i="14"/>
  <c r="O33" i="14" s="1"/>
  <c r="P12" i="25"/>
  <c r="Q51" i="25"/>
  <c r="Q54" i="25" s="1"/>
  <c r="Q47" i="25"/>
  <c r="Q44" i="25"/>
  <c r="Q50" i="25" s="1"/>
  <c r="Q53" i="25" s="1"/>
  <c r="D42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C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36" i="25" s="1"/>
  <c r="D8" i="25"/>
  <c r="Q51" i="24"/>
  <c r="Q54" i="24" s="1"/>
  <c r="Q47" i="24"/>
  <c r="Q44" i="24"/>
  <c r="Q50" i="24" s="1"/>
  <c r="Q53" i="24" s="1"/>
  <c r="P36" i="24"/>
  <c r="O36" i="24"/>
  <c r="N36" i="24"/>
  <c r="M36" i="24"/>
  <c r="L36" i="24"/>
  <c r="K36" i="24"/>
  <c r="J36" i="24"/>
  <c r="I36" i="24"/>
  <c r="H36" i="24"/>
  <c r="G36" i="24"/>
  <c r="F36" i="24"/>
  <c r="E36" i="24"/>
  <c r="C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8" i="24"/>
  <c r="D35" i="22"/>
  <c r="P36" i="22"/>
  <c r="L9" i="23"/>
  <c r="L8" i="23"/>
  <c r="L7" i="23"/>
  <c r="L6" i="23"/>
  <c r="D8" i="22"/>
  <c r="V8" i="10"/>
  <c r="D25" i="1"/>
  <c r="D25" i="4" s="1"/>
  <c r="P26" i="1"/>
  <c r="J22" i="16"/>
  <c r="J10" i="16"/>
  <c r="D28" i="19"/>
  <c r="D29" i="19"/>
  <c r="D30" i="19"/>
  <c r="D27" i="19"/>
  <c r="J20" i="16"/>
  <c r="P25" i="19"/>
  <c r="Z15" i="15"/>
  <c r="AB15" i="15" s="1"/>
  <c r="Z16" i="15"/>
  <c r="AA16" i="15" s="1"/>
  <c r="Z17" i="15"/>
  <c r="AB17" i="15" s="1"/>
  <c r="Z18" i="15"/>
  <c r="AA18" i="15" s="1"/>
  <c r="Z19" i="15"/>
  <c r="AB19" i="15" s="1"/>
  <c r="Z14" i="15"/>
  <c r="AA14" i="15" s="1"/>
  <c r="AJ15" i="15"/>
  <c r="AJ14" i="15"/>
  <c r="AJ16" i="15" s="1"/>
  <c r="AJ7" i="15"/>
  <c r="AJ8" i="15"/>
  <c r="AJ9" i="15"/>
  <c r="AJ10" i="15"/>
  <c r="AJ11" i="15"/>
  <c r="AJ12" i="15"/>
  <c r="AJ6" i="15"/>
  <c r="AJ13" i="15" s="1"/>
  <c r="AJ17" i="15" s="1"/>
  <c r="N5" i="1"/>
  <c r="M5" i="1" s="1"/>
  <c r="L5" i="1" s="1"/>
  <c r="K5" i="1" s="1"/>
  <c r="J5" i="1" s="1"/>
  <c r="I5" i="1" s="1"/>
  <c r="H5" i="1" s="1"/>
  <c r="G5" i="1" s="1"/>
  <c r="F5" i="1" s="1"/>
  <c r="E5" i="1" s="1"/>
  <c r="E8" i="1" s="1"/>
  <c r="S30" i="21"/>
  <c r="S29" i="21"/>
  <c r="S19" i="21"/>
  <c r="T5" i="10" s="1"/>
  <c r="U22" i="21"/>
  <c r="F4" i="10"/>
  <c r="G4" i="10"/>
  <c r="H4" i="10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I60" i="21"/>
  <c r="I61" i="21"/>
  <c r="I59" i="21"/>
  <c r="I58" i="21"/>
  <c r="J113" i="20"/>
  <c r="Q41" i="21"/>
  <c r="P6" i="15" s="1"/>
  <c r="L6" i="15" s="1"/>
  <c r="J63" i="20"/>
  <c r="L3" i="15"/>
  <c r="P3" i="15"/>
  <c r="J3" i="15"/>
  <c r="K6" i="18"/>
  <c r="L6" i="18"/>
  <c r="Q51" i="22"/>
  <c r="Q54" i="22" s="1"/>
  <c r="Q47" i="22"/>
  <c r="Q44" i="22"/>
  <c r="Q50" i="22" s="1"/>
  <c r="Q53" i="22" s="1"/>
  <c r="K45" i="18"/>
  <c r="K43" i="18"/>
  <c r="M46" i="21"/>
  <c r="M48" i="21"/>
  <c r="M49" i="21"/>
  <c r="M40" i="21"/>
  <c r="I7" i="21"/>
  <c r="F119" i="20"/>
  <c r="J125" i="20"/>
  <c r="J119" i="20"/>
  <c r="J101" i="20"/>
  <c r="J76" i="20"/>
  <c r="J82" i="20"/>
  <c r="J40" i="20"/>
  <c r="M63" i="21"/>
  <c r="N63" i="21"/>
  <c r="O63" i="21"/>
  <c r="P63" i="21"/>
  <c r="R63" i="21"/>
  <c r="S63" i="21"/>
  <c r="T63" i="21"/>
  <c r="U63" i="21"/>
  <c r="L63" i="21"/>
  <c r="K63" i="21"/>
  <c r="K10" i="21"/>
  <c r="L10" i="21"/>
  <c r="N10" i="21"/>
  <c r="O10" i="21"/>
  <c r="P10" i="21"/>
  <c r="Q10" i="21"/>
  <c r="R10" i="21"/>
  <c r="S10" i="21"/>
  <c r="T10" i="21"/>
  <c r="U10" i="21"/>
  <c r="Z7" i="15"/>
  <c r="Z8" i="15"/>
  <c r="Z9" i="15"/>
  <c r="Z10" i="15"/>
  <c r="Z11" i="15"/>
  <c r="Z6" i="15"/>
  <c r="Q45" i="21"/>
  <c r="M45" i="21" s="1"/>
  <c r="Q44" i="21"/>
  <c r="M44" i="21" s="1"/>
  <c r="Q43" i="21"/>
  <c r="M43" i="21" s="1"/>
  <c r="Q42" i="21"/>
  <c r="M42" i="21" s="1"/>
  <c r="M41" i="21"/>
  <c r="U50" i="21"/>
  <c r="M50" i="21" s="1"/>
  <c r="U47" i="21"/>
  <c r="W12" i="15" s="1"/>
  <c r="U32" i="21"/>
  <c r="J32" i="20"/>
  <c r="J22" i="20"/>
  <c r="J13" i="20"/>
  <c r="D6" i="19" s="1"/>
  <c r="I3" i="15"/>
  <c r="C16" i="12" l="1"/>
  <c r="Y9" i="12"/>
  <c r="Y5" i="12"/>
  <c r="W5" i="12"/>
  <c r="Q8" i="10"/>
  <c r="J13" i="16"/>
  <c r="N13" i="16" s="1"/>
  <c r="N12" i="16"/>
  <c r="O31" i="14"/>
  <c r="O34" i="14" s="1"/>
  <c r="O29" i="13"/>
  <c r="O32" i="13" s="1"/>
  <c r="O28" i="11"/>
  <c r="O31" i="11" s="1"/>
  <c r="W15" i="15"/>
  <c r="J15" i="15" s="1"/>
  <c r="J6" i="15"/>
  <c r="P8" i="15"/>
  <c r="L8" i="15" s="1"/>
  <c r="AB14" i="15"/>
  <c r="AC19" i="15"/>
  <c r="AA19" i="15"/>
  <c r="AB18" i="15"/>
  <c r="AC17" i="15"/>
  <c r="AA17" i="15"/>
  <c r="AB16" i="15"/>
  <c r="AC15" i="15"/>
  <c r="AA15" i="15"/>
  <c r="AA20" i="15" s="1"/>
  <c r="D19" i="14" s="1"/>
  <c r="D25" i="19"/>
  <c r="D11" i="19"/>
  <c r="J88" i="20"/>
  <c r="L86" i="20" s="1"/>
  <c r="I63" i="21"/>
  <c r="Z20" i="15"/>
  <c r="D36" i="24"/>
  <c r="P7" i="15"/>
  <c r="L7" i="15" s="1"/>
  <c r="AC14" i="15"/>
  <c r="AC18" i="15"/>
  <c r="AC16" i="15"/>
  <c r="J18" i="26"/>
  <c r="O7" i="4"/>
  <c r="M8" i="3"/>
  <c r="M9" i="3" s="1"/>
  <c r="L5" i="3"/>
  <c r="L7" i="3"/>
  <c r="L11" i="25" s="1"/>
  <c r="K7" i="3"/>
  <c r="K11" i="25" s="1"/>
  <c r="J4" i="3"/>
  <c r="L8" i="2"/>
  <c r="L9" i="2" s="1"/>
  <c r="L11" i="2" s="1"/>
  <c r="K5" i="2"/>
  <c r="I4" i="2"/>
  <c r="J7" i="2"/>
  <c r="J11" i="24" s="1"/>
  <c r="L110" i="20"/>
  <c r="L30" i="18"/>
  <c r="P42" i="22"/>
  <c r="D42" i="22" s="1"/>
  <c r="S32" i="21"/>
  <c r="J48" i="20" s="1"/>
  <c r="J18" i="16"/>
  <c r="N18" i="16" s="1"/>
  <c r="S22" i="21"/>
  <c r="T6" i="10"/>
  <c r="T8" i="10" s="1"/>
  <c r="I7" i="15"/>
  <c r="N18" i="23"/>
  <c r="M18" i="23"/>
  <c r="L18" i="23"/>
  <c r="O12" i="25"/>
  <c r="N8" i="25" s="1"/>
  <c r="M7" i="1"/>
  <c r="N7" i="1"/>
  <c r="N12" i="25"/>
  <c r="M8" i="25" s="1"/>
  <c r="L4" i="1"/>
  <c r="L7" i="1" s="1"/>
  <c r="L11" i="22" s="1"/>
  <c r="M8" i="1"/>
  <c r="K8" i="1"/>
  <c r="I8" i="1"/>
  <c r="G8" i="1"/>
  <c r="N8" i="1"/>
  <c r="L8" i="1"/>
  <c r="J8" i="1"/>
  <c r="H8" i="1"/>
  <c r="F8" i="1"/>
  <c r="I5" i="15"/>
  <c r="J13" i="15"/>
  <c r="J7" i="15"/>
  <c r="R8" i="15"/>
  <c r="I8" i="15" s="1"/>
  <c r="R6" i="15"/>
  <c r="I6" i="15" s="1"/>
  <c r="R14" i="15"/>
  <c r="I14" i="15" s="1"/>
  <c r="I11" i="15"/>
  <c r="J11" i="15"/>
  <c r="P10" i="15"/>
  <c r="L10" i="15" s="1"/>
  <c r="I10" i="15" s="1"/>
  <c r="P9" i="15"/>
  <c r="L9" i="15" s="1"/>
  <c r="I9" i="15" s="1"/>
  <c r="J5" i="15"/>
  <c r="L108" i="20"/>
  <c r="L111" i="20"/>
  <c r="L109" i="20"/>
  <c r="L112" i="20"/>
  <c r="O12" i="24"/>
  <c r="N8" i="24" s="1"/>
  <c r="P12" i="24"/>
  <c r="O8" i="24" s="1"/>
  <c r="W9" i="12"/>
  <c r="R15" i="15"/>
  <c r="I15" i="15" s="1"/>
  <c r="P10" i="25"/>
  <c r="P9" i="25" s="1"/>
  <c r="O28" i="26" s="1"/>
  <c r="O30" i="26" s="1"/>
  <c r="O8" i="25"/>
  <c r="P11" i="22"/>
  <c r="O9" i="1"/>
  <c r="P9" i="1"/>
  <c r="J24" i="16"/>
  <c r="K12" i="18" s="1"/>
  <c r="P26" i="19"/>
  <c r="P31" i="19" s="1"/>
  <c r="O6" i="19" s="1"/>
  <c r="J45" i="20"/>
  <c r="J53" i="20" s="1"/>
  <c r="J60" i="20" s="1"/>
  <c r="J66" i="20" s="1"/>
  <c r="J73" i="20" s="1"/>
  <c r="J79" i="20" s="1"/>
  <c r="J69" i="20"/>
  <c r="L24" i="18"/>
  <c r="K24" i="18"/>
  <c r="J63" i="21"/>
  <c r="L16" i="18"/>
  <c r="U51" i="21"/>
  <c r="W16" i="15" s="1"/>
  <c r="Q47" i="21"/>
  <c r="O11" i="19" l="1"/>
  <c r="O26" i="19" s="1"/>
  <c r="O31" i="19" s="1"/>
  <c r="N6" i="19" s="1"/>
  <c r="N11" i="19" s="1"/>
  <c r="C19" i="14"/>
  <c r="C30" i="14" s="1"/>
  <c r="D30" i="14"/>
  <c r="AC20" i="15"/>
  <c r="D19" i="13" s="1"/>
  <c r="AB20" i="15"/>
  <c r="D19" i="11" s="1"/>
  <c r="J8" i="15"/>
  <c r="O31" i="26"/>
  <c r="N32" i="26" s="1"/>
  <c r="I18" i="26"/>
  <c r="N11" i="22"/>
  <c r="N7" i="4"/>
  <c r="M11" i="22"/>
  <c r="M7" i="4"/>
  <c r="L7" i="4"/>
  <c r="N26" i="1"/>
  <c r="O11" i="1"/>
  <c r="O11" i="4" s="1"/>
  <c r="O9" i="4"/>
  <c r="D14" i="1"/>
  <c r="D14" i="4" s="1"/>
  <c r="P11" i="1"/>
  <c r="P11" i="4" s="1"/>
  <c r="P9" i="4"/>
  <c r="M11" i="3"/>
  <c r="I4" i="3"/>
  <c r="J7" i="3"/>
  <c r="J11" i="25" s="1"/>
  <c r="L8" i="3"/>
  <c r="L9" i="3" s="1"/>
  <c r="K5" i="3"/>
  <c r="I7" i="2"/>
  <c r="I11" i="24" s="1"/>
  <c r="H4" i="2"/>
  <c r="K8" i="2"/>
  <c r="K9" i="2" s="1"/>
  <c r="K11" i="2" s="1"/>
  <c r="J5" i="2"/>
  <c r="J47" i="20"/>
  <c r="J49" i="20" s="1"/>
  <c r="S33" i="21"/>
  <c r="J23" i="16"/>
  <c r="N23" i="16" s="1"/>
  <c r="N10" i="25"/>
  <c r="N9" i="25" s="1"/>
  <c r="O10" i="25"/>
  <c r="O9" i="25" s="1"/>
  <c r="M9" i="1"/>
  <c r="M11" i="1" s="1"/>
  <c r="D15" i="1"/>
  <c r="D15" i="4" s="1"/>
  <c r="O26" i="1"/>
  <c r="N9" i="1"/>
  <c r="J10" i="15"/>
  <c r="R16" i="18"/>
  <c r="P51" i="25"/>
  <c r="L92" i="20"/>
  <c r="L90" i="20"/>
  <c r="P10" i="24"/>
  <c r="P9" i="24" s="1"/>
  <c r="K4" i="1"/>
  <c r="K7" i="1" s="1"/>
  <c r="K11" i="22" s="1"/>
  <c r="L9" i="1"/>
  <c r="L11" i="1" s="1"/>
  <c r="O10" i="24"/>
  <c r="O9" i="24" s="1"/>
  <c r="R12" i="15"/>
  <c r="Q51" i="21"/>
  <c r="P16" i="15" s="1"/>
  <c r="L16" i="15" s="1"/>
  <c r="P12" i="15"/>
  <c r="J9" i="15"/>
  <c r="R16" i="15"/>
  <c r="L113" i="20"/>
  <c r="N12" i="22"/>
  <c r="M8" i="22" s="1"/>
  <c r="M12" i="24"/>
  <c r="L8" i="24" s="1"/>
  <c r="D26" i="19"/>
  <c r="D31" i="19" s="1"/>
  <c r="Q9" i="18" s="1"/>
  <c r="M12" i="22"/>
  <c r="L8" i="22" s="1"/>
  <c r="P12" i="22"/>
  <c r="O8" i="22" s="1"/>
  <c r="O12" i="22"/>
  <c r="N8" i="22" s="1"/>
  <c r="J25" i="16"/>
  <c r="J33" i="16" s="1"/>
  <c r="M47" i="21"/>
  <c r="L32" i="18"/>
  <c r="H85" i="20"/>
  <c r="J85" i="20"/>
  <c r="J98" i="20"/>
  <c r="J106" i="20" s="1"/>
  <c r="J116" i="20" s="1"/>
  <c r="J122" i="20" s="1"/>
  <c r="J35" i="16" l="1"/>
  <c r="K13" i="18" s="1"/>
  <c r="J34" i="16"/>
  <c r="K29" i="18" s="1"/>
  <c r="M51" i="21"/>
  <c r="J55" i="20" s="1"/>
  <c r="J56" i="20" s="1"/>
  <c r="I16" i="15"/>
  <c r="C19" i="11"/>
  <c r="C27" i="11" s="1"/>
  <c r="D27" i="11"/>
  <c r="D33" i="14"/>
  <c r="D31" i="14"/>
  <c r="D34" i="14" s="1"/>
  <c r="D28" i="13"/>
  <c r="C19" i="13"/>
  <c r="C28" i="13" s="1"/>
  <c r="C31" i="14"/>
  <c r="C34" i="14" s="1"/>
  <c r="C33" i="14"/>
  <c r="O33" i="26"/>
  <c r="O35" i="26" s="1"/>
  <c r="O51" i="25"/>
  <c r="O54" i="25" s="1"/>
  <c r="N42" i="25" s="1"/>
  <c r="N28" i="26"/>
  <c r="N30" i="26" s="1"/>
  <c r="N31" i="26" s="1"/>
  <c r="N51" i="25"/>
  <c r="M28" i="26"/>
  <c r="M30" i="26" s="1"/>
  <c r="M31" i="26" s="1"/>
  <c r="P51" i="24"/>
  <c r="P54" i="24" s="1"/>
  <c r="O42" i="24" s="1"/>
  <c r="O17" i="26"/>
  <c r="O19" i="26" s="1"/>
  <c r="O51" i="24"/>
  <c r="O54" i="24" s="1"/>
  <c r="N42" i="24" s="1"/>
  <c r="N17" i="26"/>
  <c r="N19" i="26" s="1"/>
  <c r="H18" i="26"/>
  <c r="K7" i="4"/>
  <c r="N11" i="1"/>
  <c r="N11" i="4" s="1"/>
  <c r="N9" i="4"/>
  <c r="M9" i="4"/>
  <c r="M11" i="4"/>
  <c r="L11" i="3"/>
  <c r="L11" i="4" s="1"/>
  <c r="L9" i="4"/>
  <c r="K8" i="3"/>
  <c r="K9" i="3" s="1"/>
  <c r="J5" i="3"/>
  <c r="I7" i="3"/>
  <c r="I11" i="25" s="1"/>
  <c r="H4" i="3"/>
  <c r="J8" i="2"/>
  <c r="J9" i="2" s="1"/>
  <c r="J11" i="2" s="1"/>
  <c r="I5" i="2"/>
  <c r="G4" i="2"/>
  <c r="H7" i="2"/>
  <c r="H11" i="24" s="1"/>
  <c r="N25" i="16"/>
  <c r="N28" i="16"/>
  <c r="P54" i="25"/>
  <c r="O42" i="25" s="1"/>
  <c r="L26" i="1"/>
  <c r="D17" i="1"/>
  <c r="D17" i="4" s="1"/>
  <c r="K26" i="1"/>
  <c r="D18" i="1"/>
  <c r="D18" i="4" s="1"/>
  <c r="D16" i="1"/>
  <c r="D16" i="4" s="1"/>
  <c r="M26" i="1"/>
  <c r="L91" i="20"/>
  <c r="L93" i="20"/>
  <c r="L94" i="20" s="1"/>
  <c r="M12" i="25"/>
  <c r="L8" i="25" s="1"/>
  <c r="J4" i="1"/>
  <c r="J7" i="1" s="1"/>
  <c r="J11" i="22" s="1"/>
  <c r="K12" i="22"/>
  <c r="J8" i="22" s="1"/>
  <c r="L12" i="24"/>
  <c r="K8" i="24" s="1"/>
  <c r="L12" i="22"/>
  <c r="K8" i="22" s="1"/>
  <c r="J16" i="15"/>
  <c r="L12" i="15"/>
  <c r="I12" i="15" s="1"/>
  <c r="J12" i="15"/>
  <c r="N12" i="24"/>
  <c r="M8" i="24" s="1"/>
  <c r="M10" i="24"/>
  <c r="N54" i="25"/>
  <c r="M42" i="25" s="1"/>
  <c r="O10" i="22"/>
  <c r="O9" i="22" s="1"/>
  <c r="M10" i="22"/>
  <c r="M9" i="22" s="1"/>
  <c r="P10" i="22"/>
  <c r="P9" i="22" s="1"/>
  <c r="N10" i="22"/>
  <c r="N9" i="22" s="1"/>
  <c r="N26" i="19"/>
  <c r="N31" i="19" s="1"/>
  <c r="M6" i="19" s="1"/>
  <c r="M11" i="19" s="1"/>
  <c r="Q24" i="18"/>
  <c r="C31" i="13" l="1"/>
  <c r="C29" i="13"/>
  <c r="C32" i="13" s="1"/>
  <c r="D30" i="11"/>
  <c r="D28" i="11"/>
  <c r="D31" i="11" s="1"/>
  <c r="I37" i="16"/>
  <c r="I38" i="16" s="1"/>
  <c r="K28" i="18" s="1"/>
  <c r="K30" i="18" s="1"/>
  <c r="D29" i="13"/>
  <c r="D32" i="13" s="1"/>
  <c r="D31" i="13"/>
  <c r="C28" i="11"/>
  <c r="C31" i="11" s="1"/>
  <c r="C30" i="11"/>
  <c r="P8" i="10" s="1"/>
  <c r="L32" i="26"/>
  <c r="M32" i="26"/>
  <c r="M33" i="26" s="1"/>
  <c r="M35" i="26" s="1"/>
  <c r="N33" i="26"/>
  <c r="N35" i="26" s="1"/>
  <c r="N20" i="26"/>
  <c r="M21" i="26" s="1"/>
  <c r="O20" i="26"/>
  <c r="N21" i="26" s="1"/>
  <c r="G18" i="26"/>
  <c r="O51" i="22"/>
  <c r="O54" i="22" s="1"/>
  <c r="N42" i="22" s="1"/>
  <c r="N6" i="26"/>
  <c r="N8" i="26" s="1"/>
  <c r="N9" i="26" s="1"/>
  <c r="N51" i="22"/>
  <c r="M6" i="26"/>
  <c r="M8" i="26" s="1"/>
  <c r="M9" i="26" s="1"/>
  <c r="M51" i="22"/>
  <c r="M54" i="22" s="1"/>
  <c r="L42" i="22" s="1"/>
  <c r="L6" i="26"/>
  <c r="L8" i="26" s="1"/>
  <c r="L9" i="26" s="1"/>
  <c r="P51" i="22"/>
  <c r="P54" i="22" s="1"/>
  <c r="O42" i="22" s="1"/>
  <c r="O6" i="26"/>
  <c r="O8" i="26" s="1"/>
  <c r="O9" i="26" s="1"/>
  <c r="J7" i="4"/>
  <c r="K11" i="3"/>
  <c r="G4" i="3"/>
  <c r="H7" i="3"/>
  <c r="H11" i="25" s="1"/>
  <c r="J8" i="3"/>
  <c r="J9" i="3" s="1"/>
  <c r="I5" i="3"/>
  <c r="G7" i="2"/>
  <c r="G11" i="24" s="1"/>
  <c r="F4" i="2"/>
  <c r="I8" i="2"/>
  <c r="I9" i="2" s="1"/>
  <c r="I11" i="2" s="1"/>
  <c r="H5" i="2"/>
  <c r="P48" i="25"/>
  <c r="P45" i="25" s="1"/>
  <c r="P22" i="25" s="1"/>
  <c r="O48" i="25"/>
  <c r="O45" i="25" s="1"/>
  <c r="O22" i="25" s="1"/>
  <c r="P48" i="24"/>
  <c r="P45" i="24" s="1"/>
  <c r="P22" i="24" s="1"/>
  <c r="O48" i="24"/>
  <c r="O45" i="24" s="1"/>
  <c r="O22" i="24" s="1"/>
  <c r="M10" i="25"/>
  <c r="M9" i="25" s="1"/>
  <c r="K12" i="25"/>
  <c r="J8" i="25" s="1"/>
  <c r="L12" i="25"/>
  <c r="K8" i="25" s="1"/>
  <c r="L10" i="24"/>
  <c r="L9" i="24" s="1"/>
  <c r="I4" i="1"/>
  <c r="L10" i="22"/>
  <c r="L9" i="22" s="1"/>
  <c r="K12" i="24"/>
  <c r="J8" i="24" s="1"/>
  <c r="K9" i="1"/>
  <c r="K11" i="1" s="1"/>
  <c r="K10" i="22"/>
  <c r="K9" i="22" s="1"/>
  <c r="M9" i="24"/>
  <c r="N10" i="24"/>
  <c r="N9" i="24" s="1"/>
  <c r="N48" i="25"/>
  <c r="N45" i="25" s="1"/>
  <c r="N22" i="25" s="1"/>
  <c r="N54" i="22"/>
  <c r="M42" i="22" s="1"/>
  <c r="M26" i="19"/>
  <c r="M31" i="19" s="1"/>
  <c r="L6" i="19" s="1"/>
  <c r="L11" i="19" s="1"/>
  <c r="Q16" i="18"/>
  <c r="Q32" i="18" s="1"/>
  <c r="K16" i="18"/>
  <c r="N27" i="16"/>
  <c r="O22" i="26" l="1"/>
  <c r="O24" i="26" s="1"/>
  <c r="N22" i="26"/>
  <c r="N24" i="26" s="1"/>
  <c r="M51" i="25"/>
  <c r="M54" i="25" s="1"/>
  <c r="L42" i="25" s="1"/>
  <c r="L28" i="26"/>
  <c r="L30" i="26" s="1"/>
  <c r="L31" i="26" s="1"/>
  <c r="L51" i="24"/>
  <c r="L54" i="24" s="1"/>
  <c r="K42" i="24" s="1"/>
  <c r="K17" i="26"/>
  <c r="K19" i="26" s="1"/>
  <c r="N51" i="24"/>
  <c r="N54" i="24" s="1"/>
  <c r="M42" i="24" s="1"/>
  <c r="M17" i="26"/>
  <c r="M19" i="26" s="1"/>
  <c r="M51" i="24"/>
  <c r="M54" i="24" s="1"/>
  <c r="L42" i="24" s="1"/>
  <c r="L17" i="26"/>
  <c r="L19" i="26" s="1"/>
  <c r="F18" i="26"/>
  <c r="L51" i="22"/>
  <c r="L54" i="22" s="1"/>
  <c r="K42" i="22" s="1"/>
  <c r="K6" i="26"/>
  <c r="K8" i="26" s="1"/>
  <c r="K9" i="26" s="1"/>
  <c r="K51" i="22"/>
  <c r="K54" i="22" s="1"/>
  <c r="J42" i="22" s="1"/>
  <c r="J6" i="26"/>
  <c r="J8" i="26" s="1"/>
  <c r="J9" i="26" s="1"/>
  <c r="N10" i="26"/>
  <c r="K10" i="26"/>
  <c r="L10" i="26"/>
  <c r="M10" i="26"/>
  <c r="M11" i="26" s="1"/>
  <c r="M13" i="26" s="1"/>
  <c r="I7" i="1"/>
  <c r="H4" i="1"/>
  <c r="G4" i="1" s="1"/>
  <c r="F4" i="1" s="1"/>
  <c r="E4" i="1" s="1"/>
  <c r="K9" i="4"/>
  <c r="K11" i="4"/>
  <c r="J11" i="3"/>
  <c r="I8" i="3"/>
  <c r="I9" i="3" s="1"/>
  <c r="H5" i="3"/>
  <c r="L10" i="25"/>
  <c r="L9" i="25" s="1"/>
  <c r="K10" i="25"/>
  <c r="K9" i="25" s="1"/>
  <c r="G7" i="3"/>
  <c r="G11" i="25" s="1"/>
  <c r="F4" i="3"/>
  <c r="H8" i="2"/>
  <c r="H9" i="2" s="1"/>
  <c r="H11" i="2" s="1"/>
  <c r="G5" i="2"/>
  <c r="E4" i="2"/>
  <c r="E7" i="2" s="1"/>
  <c r="E11" i="24" s="1"/>
  <c r="F7" i="2"/>
  <c r="F11" i="24" s="1"/>
  <c r="M48" i="25"/>
  <c r="M45" i="25" s="1"/>
  <c r="M22" i="25" s="1"/>
  <c r="O48" i="22"/>
  <c r="O45" i="22" s="1"/>
  <c r="O22" i="22" s="1"/>
  <c r="P48" i="22"/>
  <c r="P45" i="22" s="1"/>
  <c r="P22" i="22" s="1"/>
  <c r="J26" i="1"/>
  <c r="D19" i="1"/>
  <c r="D19" i="4" s="1"/>
  <c r="J12" i="25"/>
  <c r="I8" i="25" s="1"/>
  <c r="J9" i="1"/>
  <c r="J11" i="1" s="1"/>
  <c r="K10" i="24"/>
  <c r="K9" i="24" s="1"/>
  <c r="K48" i="22"/>
  <c r="K45" i="22" s="1"/>
  <c r="K22" i="22" s="1"/>
  <c r="M48" i="22"/>
  <c r="M45" i="22" s="1"/>
  <c r="M22" i="22" s="1"/>
  <c r="L48" i="22"/>
  <c r="L45" i="22" s="1"/>
  <c r="L22" i="22" s="1"/>
  <c r="N48" i="22"/>
  <c r="N45" i="22" s="1"/>
  <c r="N22" i="22" s="1"/>
  <c r="L26" i="19"/>
  <c r="L31" i="19" s="1"/>
  <c r="K6" i="19" s="1"/>
  <c r="K11" i="19" s="1"/>
  <c r="K32" i="18"/>
  <c r="K35" i="18" s="1"/>
  <c r="L48" i="24" l="1"/>
  <c r="N48" i="24"/>
  <c r="N45" i="24" s="1"/>
  <c r="N22" i="24" s="1"/>
  <c r="K51" i="25"/>
  <c r="K54" i="25" s="1"/>
  <c r="J42" i="25" s="1"/>
  <c r="J28" i="26"/>
  <c r="J30" i="26" s="1"/>
  <c r="J31" i="26" s="1"/>
  <c r="K32" i="26"/>
  <c r="L33" i="26"/>
  <c r="L35" i="26" s="1"/>
  <c r="L51" i="25"/>
  <c r="K28" i="26"/>
  <c r="K30" i="26" s="1"/>
  <c r="K31" i="26" s="1"/>
  <c r="K51" i="24"/>
  <c r="K54" i="24" s="1"/>
  <c r="J42" i="24" s="1"/>
  <c r="J17" i="26"/>
  <c r="J19" i="26" s="1"/>
  <c r="L20" i="26"/>
  <c r="K21" i="26" s="1"/>
  <c r="M20" i="26"/>
  <c r="L21" i="26" s="1"/>
  <c r="L22" i="26" s="1"/>
  <c r="L24" i="26" s="1"/>
  <c r="K20" i="26"/>
  <c r="J21" i="26" s="1"/>
  <c r="K22" i="26"/>
  <c r="K24" i="26" s="1"/>
  <c r="E18" i="26"/>
  <c r="O11" i="26"/>
  <c r="O13" i="26" s="1"/>
  <c r="J10" i="26"/>
  <c r="N11" i="26"/>
  <c r="N13" i="26" s="1"/>
  <c r="L11" i="26"/>
  <c r="L13" i="26" s="1"/>
  <c r="I10" i="26"/>
  <c r="I11" i="22"/>
  <c r="I7" i="4"/>
  <c r="H7" i="1"/>
  <c r="J9" i="4"/>
  <c r="J11" i="4"/>
  <c r="K48" i="25"/>
  <c r="I11" i="3"/>
  <c r="E4" i="3"/>
  <c r="E7" i="3" s="1"/>
  <c r="E11" i="25" s="1"/>
  <c r="F7" i="3"/>
  <c r="F11" i="25" s="1"/>
  <c r="H8" i="3"/>
  <c r="H9" i="3" s="1"/>
  <c r="G5" i="3"/>
  <c r="D7" i="2"/>
  <c r="G8" i="2"/>
  <c r="G9" i="2" s="1"/>
  <c r="G11" i="2" s="1"/>
  <c r="F5" i="2"/>
  <c r="M36" i="22"/>
  <c r="D26" i="22"/>
  <c r="L36" i="22"/>
  <c r="D27" i="22"/>
  <c r="D25" i="22"/>
  <c r="N36" i="22"/>
  <c r="D28" i="22"/>
  <c r="K36" i="22"/>
  <c r="J36" i="22"/>
  <c r="D29" i="22"/>
  <c r="O36" i="22"/>
  <c r="D24" i="22"/>
  <c r="D20" i="1"/>
  <c r="D20" i="4" s="1"/>
  <c r="I26" i="1"/>
  <c r="L45" i="24"/>
  <c r="L22" i="24" s="1"/>
  <c r="J10" i="25"/>
  <c r="J9" i="25" s="1"/>
  <c r="I12" i="25"/>
  <c r="H8" i="25" s="1"/>
  <c r="G7" i="1"/>
  <c r="G11" i="22" s="1"/>
  <c r="I9" i="1"/>
  <c r="I11" i="1" s="1"/>
  <c r="J12" i="24"/>
  <c r="I8" i="24" s="1"/>
  <c r="J12" i="22"/>
  <c r="I8" i="22" s="1"/>
  <c r="K48" i="24"/>
  <c r="K45" i="24" s="1"/>
  <c r="K22" i="24" s="1"/>
  <c r="M48" i="24"/>
  <c r="M45" i="24" s="1"/>
  <c r="M22" i="24" s="1"/>
  <c r="K26" i="19"/>
  <c r="K31" i="19" s="1"/>
  <c r="J6" i="19" s="1"/>
  <c r="J11" i="19" s="1"/>
  <c r="M10" i="21"/>
  <c r="I8" i="21"/>
  <c r="J10" i="21"/>
  <c r="I9" i="21"/>
  <c r="I10" i="21" s="1"/>
  <c r="R24" i="18"/>
  <c r="R32" i="18" s="1"/>
  <c r="M22" i="26" l="1"/>
  <c r="M24" i="26" s="1"/>
  <c r="J51" i="25"/>
  <c r="J54" i="25" s="1"/>
  <c r="I42" i="25" s="1"/>
  <c r="I28" i="26"/>
  <c r="I30" i="26" s="1"/>
  <c r="I31" i="26" s="1"/>
  <c r="J32" i="26"/>
  <c r="J33" i="26" s="1"/>
  <c r="J35" i="26" s="1"/>
  <c r="K33" i="26"/>
  <c r="K35" i="26" s="1"/>
  <c r="I32" i="26"/>
  <c r="L54" i="25"/>
  <c r="K42" i="25" s="1"/>
  <c r="K45" i="25" s="1"/>
  <c r="K22" i="25" s="1"/>
  <c r="J20" i="26"/>
  <c r="I21" i="26" s="1"/>
  <c r="D18" i="26"/>
  <c r="J11" i="26"/>
  <c r="J13" i="26" s="1"/>
  <c r="K11" i="26"/>
  <c r="K13" i="26" s="1"/>
  <c r="S9" i="2"/>
  <c r="S10" i="2" s="1"/>
  <c r="K6" i="10"/>
  <c r="D11" i="24"/>
  <c r="V15" i="4"/>
  <c r="H11" i="22"/>
  <c r="H7" i="4"/>
  <c r="G7" i="4"/>
  <c r="I9" i="4"/>
  <c r="I11" i="4"/>
  <c r="H11" i="3"/>
  <c r="G8" i="3"/>
  <c r="G9" i="3" s="1"/>
  <c r="F5" i="3"/>
  <c r="D7" i="3"/>
  <c r="F8" i="2"/>
  <c r="F9" i="2" s="1"/>
  <c r="F11" i="2" s="1"/>
  <c r="E5" i="2"/>
  <c r="E8" i="2" s="1"/>
  <c r="E9" i="2" s="1"/>
  <c r="K34" i="18"/>
  <c r="N26" i="16"/>
  <c r="H26" i="1"/>
  <c r="D21" i="1"/>
  <c r="D21" i="4" s="1"/>
  <c r="I10" i="25"/>
  <c r="I9" i="25" s="1"/>
  <c r="H12" i="25"/>
  <c r="G8" i="25" s="1"/>
  <c r="I12" i="22"/>
  <c r="H8" i="22" s="1"/>
  <c r="H9" i="1"/>
  <c r="H11" i="1" s="1"/>
  <c r="I12" i="24"/>
  <c r="H8" i="24" s="1"/>
  <c r="F7" i="1"/>
  <c r="F11" i="22" s="1"/>
  <c r="J10" i="22"/>
  <c r="J9" i="22" s="1"/>
  <c r="J10" i="24"/>
  <c r="J9" i="24" s="1"/>
  <c r="J26" i="19"/>
  <c r="J31" i="19" s="1"/>
  <c r="I6" i="19" s="1"/>
  <c r="I11" i="19" s="1"/>
  <c r="J48" i="25" l="1"/>
  <c r="J45" i="25" s="1"/>
  <c r="J22" i="25" s="1"/>
  <c r="J22" i="26"/>
  <c r="J24" i="26" s="1"/>
  <c r="L48" i="25"/>
  <c r="L45" i="25" s="1"/>
  <c r="L22" i="25" s="1"/>
  <c r="H32" i="26"/>
  <c r="I33" i="26"/>
  <c r="I35" i="26" s="1"/>
  <c r="I51" i="25"/>
  <c r="I54" i="25" s="1"/>
  <c r="I48" i="25" s="1"/>
  <c r="I45" i="25" s="1"/>
  <c r="I22" i="25" s="1"/>
  <c r="H28" i="26"/>
  <c r="H30" i="26" s="1"/>
  <c r="H31" i="26" s="1"/>
  <c r="J51" i="24"/>
  <c r="I17" i="26"/>
  <c r="I19" i="26" s="1"/>
  <c r="J51" i="22"/>
  <c r="J54" i="22" s="1"/>
  <c r="I42" i="22" s="1"/>
  <c r="I6" i="26"/>
  <c r="I8" i="26" s="1"/>
  <c r="I9" i="26" s="1"/>
  <c r="S9" i="3"/>
  <c r="S10" i="3" s="1"/>
  <c r="K7" i="10"/>
  <c r="V16" i="4"/>
  <c r="D11" i="25"/>
  <c r="F7" i="4"/>
  <c r="H9" i="4"/>
  <c r="H11" i="4"/>
  <c r="G11" i="3"/>
  <c r="F8" i="3"/>
  <c r="F9" i="3" s="1"/>
  <c r="E5" i="3"/>
  <c r="E8" i="3" s="1"/>
  <c r="E9" i="3" s="1"/>
  <c r="D9" i="2"/>
  <c r="E11" i="2"/>
  <c r="G26" i="1"/>
  <c r="D22" i="1"/>
  <c r="D22" i="4" s="1"/>
  <c r="H10" i="25"/>
  <c r="H9" i="25" s="1"/>
  <c r="H42" i="25"/>
  <c r="G12" i="25"/>
  <c r="F8" i="25" s="1"/>
  <c r="I10" i="22"/>
  <c r="I9" i="22" s="1"/>
  <c r="E7" i="1"/>
  <c r="H12" i="24"/>
  <c r="G8" i="24" s="1"/>
  <c r="J54" i="24"/>
  <c r="I42" i="24" s="1"/>
  <c r="G9" i="1"/>
  <c r="G11" i="1" s="1"/>
  <c r="H12" i="22"/>
  <c r="G8" i="22" s="1"/>
  <c r="I10" i="24"/>
  <c r="I9" i="24" s="1"/>
  <c r="I26" i="19"/>
  <c r="I31" i="19" s="1"/>
  <c r="H6" i="19" s="1"/>
  <c r="H11" i="19" s="1"/>
  <c r="H51" i="25" l="1"/>
  <c r="H54" i="25" s="1"/>
  <c r="G42" i="25" s="1"/>
  <c r="G28" i="26"/>
  <c r="G30" i="26" s="1"/>
  <c r="G31" i="26" s="1"/>
  <c r="G32" i="26"/>
  <c r="I20" i="26"/>
  <c r="H21" i="26" s="1"/>
  <c r="I51" i="24"/>
  <c r="H17" i="26"/>
  <c r="H19" i="26" s="1"/>
  <c r="I51" i="22"/>
  <c r="I54" i="22" s="1"/>
  <c r="H42" i="22" s="1"/>
  <c r="H6" i="26"/>
  <c r="H8" i="26" s="1"/>
  <c r="H9" i="26" s="1"/>
  <c r="H10" i="26"/>
  <c r="E11" i="22"/>
  <c r="E7" i="4"/>
  <c r="G9" i="4"/>
  <c r="G11" i="4"/>
  <c r="F11" i="3"/>
  <c r="D9" i="3"/>
  <c r="E11" i="3"/>
  <c r="D11" i="2"/>
  <c r="U15" i="4" s="1"/>
  <c r="D8" i="2"/>
  <c r="K17" i="10" s="1"/>
  <c r="D23" i="1"/>
  <c r="D23" i="4" s="1"/>
  <c r="F26" i="1"/>
  <c r="G10" i="25"/>
  <c r="G9" i="25" s="1"/>
  <c r="H48" i="25"/>
  <c r="H45" i="25" s="1"/>
  <c r="H22" i="25" s="1"/>
  <c r="M18" i="10"/>
  <c r="F12" i="25"/>
  <c r="E8" i="25" s="1"/>
  <c r="E12" i="25"/>
  <c r="D12" i="25" s="1"/>
  <c r="M17" i="10"/>
  <c r="J48" i="24"/>
  <c r="J45" i="24" s="1"/>
  <c r="J22" i="24" s="1"/>
  <c r="I48" i="22"/>
  <c r="I45" i="22" s="1"/>
  <c r="I22" i="22" s="1"/>
  <c r="H10" i="24"/>
  <c r="H9" i="24" s="1"/>
  <c r="J48" i="22"/>
  <c r="J45" i="22" s="1"/>
  <c r="J22" i="22" s="1"/>
  <c r="I54" i="24"/>
  <c r="H42" i="24" s="1"/>
  <c r="G12" i="24"/>
  <c r="F8" i="24" s="1"/>
  <c r="F9" i="1"/>
  <c r="F11" i="1" s="1"/>
  <c r="G12" i="22"/>
  <c r="F8" i="22" s="1"/>
  <c r="E9" i="1"/>
  <c r="D7" i="1"/>
  <c r="H10" i="22"/>
  <c r="H9" i="22" s="1"/>
  <c r="H26" i="19"/>
  <c r="H31" i="19" s="1"/>
  <c r="G6" i="19" s="1"/>
  <c r="G11" i="19" s="1"/>
  <c r="H33" i="26" l="1"/>
  <c r="H35" i="26" s="1"/>
  <c r="G51" i="25"/>
  <c r="G54" i="25" s="1"/>
  <c r="F42" i="25" s="1"/>
  <c r="F28" i="26"/>
  <c r="F30" i="26" s="1"/>
  <c r="F31" i="26" s="1"/>
  <c r="F32" i="26"/>
  <c r="I22" i="26"/>
  <c r="I24" i="26" s="1"/>
  <c r="H20" i="26"/>
  <c r="G21" i="26" s="1"/>
  <c r="H51" i="24"/>
  <c r="H54" i="24" s="1"/>
  <c r="G42" i="24" s="1"/>
  <c r="G17" i="26"/>
  <c r="G19" i="26" s="1"/>
  <c r="I11" i="26"/>
  <c r="I13" i="26" s="1"/>
  <c r="G10" i="26"/>
  <c r="H51" i="22"/>
  <c r="G6" i="26"/>
  <c r="G8" i="26" s="1"/>
  <c r="G9" i="26" s="1"/>
  <c r="V14" i="4"/>
  <c r="V17" i="4" s="1"/>
  <c r="D7" i="4"/>
  <c r="D11" i="22"/>
  <c r="F11" i="4"/>
  <c r="C26" i="1"/>
  <c r="E11" i="1"/>
  <c r="E11" i="4" s="1"/>
  <c r="F9" i="4"/>
  <c r="E9" i="4"/>
  <c r="D11" i="3"/>
  <c r="U16" i="4" s="1"/>
  <c r="D8" i="3"/>
  <c r="K18" i="10" s="1"/>
  <c r="I36" i="22"/>
  <c r="D30" i="22"/>
  <c r="H36" i="22"/>
  <c r="D31" i="22"/>
  <c r="E26" i="1"/>
  <c r="D24" i="1"/>
  <c r="D10" i="25"/>
  <c r="D9" i="25" s="1"/>
  <c r="S7" i="10" s="1"/>
  <c r="E10" i="25"/>
  <c r="E9" i="25" s="1"/>
  <c r="F10" i="25"/>
  <c r="F9" i="25" s="1"/>
  <c r="D9" i="1"/>
  <c r="D9" i="4" s="1"/>
  <c r="H48" i="24"/>
  <c r="H45" i="24" s="1"/>
  <c r="H22" i="24" s="1"/>
  <c r="G10" i="24"/>
  <c r="G9" i="24" s="1"/>
  <c r="I48" i="24"/>
  <c r="I45" i="24" s="1"/>
  <c r="I22" i="24" s="1"/>
  <c r="H54" i="22"/>
  <c r="G42" i="22" s="1"/>
  <c r="K5" i="10"/>
  <c r="S9" i="1"/>
  <c r="E12" i="22"/>
  <c r="D12" i="22" s="1"/>
  <c r="E12" i="24"/>
  <c r="D12" i="24" s="1"/>
  <c r="F12" i="24"/>
  <c r="E8" i="24" s="1"/>
  <c r="F12" i="22"/>
  <c r="E8" i="22" s="1"/>
  <c r="G10" i="22"/>
  <c r="G9" i="22" s="1"/>
  <c r="G26" i="19"/>
  <c r="G31" i="19" s="1"/>
  <c r="F6" i="19" s="1"/>
  <c r="F11" i="19" s="1"/>
  <c r="D26" i="1" l="1"/>
  <c r="D24" i="4"/>
  <c r="D26" i="4" s="1"/>
  <c r="G48" i="25"/>
  <c r="G45" i="25" s="1"/>
  <c r="G22" i="25" s="1"/>
  <c r="G33" i="26"/>
  <c r="G35" i="26" s="1"/>
  <c r="F51" i="25"/>
  <c r="E28" i="26"/>
  <c r="E30" i="26" s="1"/>
  <c r="E31" i="26" s="1"/>
  <c r="E32" i="26"/>
  <c r="E51" i="25"/>
  <c r="D28" i="26"/>
  <c r="G51" i="24"/>
  <c r="G54" i="24" s="1"/>
  <c r="F42" i="24" s="1"/>
  <c r="F17" i="26"/>
  <c r="F19" i="26" s="1"/>
  <c r="G20" i="26"/>
  <c r="F21" i="26" s="1"/>
  <c r="H22" i="26"/>
  <c r="H24" i="26" s="1"/>
  <c r="H11" i="26"/>
  <c r="H13" i="26" s="1"/>
  <c r="G51" i="22"/>
  <c r="F6" i="26"/>
  <c r="F8" i="26" s="1"/>
  <c r="F9" i="26" s="1"/>
  <c r="F10" i="26"/>
  <c r="S10" i="1"/>
  <c r="S9" i="4"/>
  <c r="S10" i="4" s="1"/>
  <c r="D8" i="1"/>
  <c r="K16" i="10" s="1"/>
  <c r="D11" i="1"/>
  <c r="U14" i="4" s="1"/>
  <c r="N7" i="10"/>
  <c r="E7" i="10" s="1"/>
  <c r="P13" i="10"/>
  <c r="O13" i="10" s="1"/>
  <c r="D51" i="25"/>
  <c r="R7" i="10" s="1"/>
  <c r="F54" i="25"/>
  <c r="E42" i="25" s="1"/>
  <c r="E54" i="25"/>
  <c r="D54" i="25" s="1"/>
  <c r="H48" i="22"/>
  <c r="H45" i="22" s="1"/>
  <c r="H22" i="22" s="1"/>
  <c r="K8" i="10"/>
  <c r="M16" i="10"/>
  <c r="D10" i="22"/>
  <c r="D9" i="22" s="1"/>
  <c r="S5" i="10" s="1"/>
  <c r="F10" i="22"/>
  <c r="F9" i="22" s="1"/>
  <c r="F10" i="24"/>
  <c r="F9" i="24" s="1"/>
  <c r="E10" i="24"/>
  <c r="E9" i="24" s="1"/>
  <c r="E10" i="22"/>
  <c r="E9" i="22" s="1"/>
  <c r="D10" i="24"/>
  <c r="D9" i="24" s="1"/>
  <c r="S6" i="10" s="1"/>
  <c r="G54" i="22"/>
  <c r="F42" i="22" s="1"/>
  <c r="F26" i="19"/>
  <c r="F31" i="19" s="1"/>
  <c r="E6" i="19" s="1"/>
  <c r="E11" i="19" s="1"/>
  <c r="G48" i="24" l="1"/>
  <c r="G45" i="24" s="1"/>
  <c r="G22" i="24" s="1"/>
  <c r="F33" i="26"/>
  <c r="F35" i="26" s="1"/>
  <c r="C28" i="26"/>
  <c r="D30" i="26"/>
  <c r="D31" i="26" s="1"/>
  <c r="D32" i="26"/>
  <c r="E51" i="24"/>
  <c r="E54" i="24" s="1"/>
  <c r="D54" i="24" s="1"/>
  <c r="D17" i="26"/>
  <c r="F51" i="24"/>
  <c r="F54" i="24" s="1"/>
  <c r="E42" i="24" s="1"/>
  <c r="E17" i="26"/>
  <c r="E19" i="26" s="1"/>
  <c r="F20" i="26"/>
  <c r="E21" i="26" s="1"/>
  <c r="G22" i="26"/>
  <c r="G24" i="26" s="1"/>
  <c r="G11" i="26"/>
  <c r="G13" i="26" s="1"/>
  <c r="F51" i="22"/>
  <c r="F54" i="22" s="1"/>
  <c r="E42" i="22" s="1"/>
  <c r="E6" i="26"/>
  <c r="E8" i="26" s="1"/>
  <c r="E9" i="26" s="1"/>
  <c r="E10" i="26"/>
  <c r="E51" i="22"/>
  <c r="E54" i="22" s="1"/>
  <c r="D54" i="22" s="1"/>
  <c r="D6" i="26"/>
  <c r="U17" i="4"/>
  <c r="D11" i="4"/>
  <c r="D32" i="22"/>
  <c r="G36" i="22"/>
  <c r="D48" i="25"/>
  <c r="D45" i="25" s="1"/>
  <c r="F48" i="25"/>
  <c r="F45" i="25" s="1"/>
  <c r="F22" i="25" s="1"/>
  <c r="E48" i="25"/>
  <c r="E45" i="25" s="1"/>
  <c r="E22" i="25" s="1"/>
  <c r="D51" i="24"/>
  <c r="P11" i="10"/>
  <c r="D51" i="22"/>
  <c r="G48" i="22"/>
  <c r="G45" i="22" s="1"/>
  <c r="G22" i="22" s="1"/>
  <c r="E26" i="19"/>
  <c r="E31" i="19" s="1"/>
  <c r="C31" i="26" l="1"/>
  <c r="C30" i="26"/>
  <c r="D33" i="26"/>
  <c r="D35" i="26" s="1"/>
  <c r="E33" i="26"/>
  <c r="E35" i="26" s="1"/>
  <c r="E20" i="26"/>
  <c r="D21" i="26" s="1"/>
  <c r="C17" i="26"/>
  <c r="D19" i="26"/>
  <c r="F22" i="26"/>
  <c r="F24" i="26" s="1"/>
  <c r="D8" i="26"/>
  <c r="D9" i="26" s="1"/>
  <c r="C6" i="26"/>
  <c r="D10" i="26"/>
  <c r="F11" i="26"/>
  <c r="F13" i="26" s="1"/>
  <c r="T15" i="4"/>
  <c r="T16" i="4"/>
  <c r="T14" i="4"/>
  <c r="F36" i="22"/>
  <c r="D33" i="22"/>
  <c r="O11" i="10"/>
  <c r="N6" i="10"/>
  <c r="E6" i="10" s="1"/>
  <c r="P12" i="10"/>
  <c r="O12" i="10" s="1"/>
  <c r="D22" i="25"/>
  <c r="S8" i="10"/>
  <c r="N5" i="10"/>
  <c r="E5" i="10" s="1"/>
  <c r="R5" i="10"/>
  <c r="D48" i="22"/>
  <c r="D45" i="22" s="1"/>
  <c r="D48" i="24"/>
  <c r="D45" i="24" s="1"/>
  <c r="R6" i="10"/>
  <c r="F48" i="24"/>
  <c r="F45" i="24" s="1"/>
  <c r="F22" i="24" s="1"/>
  <c r="E48" i="22"/>
  <c r="E45" i="22" s="1"/>
  <c r="E22" i="22" s="1"/>
  <c r="C35" i="22" s="1"/>
  <c r="C36" i="22" s="1"/>
  <c r="F48" i="22"/>
  <c r="F45" i="22" s="1"/>
  <c r="F22" i="22" s="1"/>
  <c r="E48" i="24"/>
  <c r="E45" i="24" s="1"/>
  <c r="E22" i="24" s="1"/>
  <c r="C33" i="26" l="1"/>
  <c r="C35" i="26"/>
  <c r="D20" i="26"/>
  <c r="C20" i="26" s="1"/>
  <c r="C19" i="26"/>
  <c r="D22" i="26"/>
  <c r="E22" i="26"/>
  <c r="E24" i="26" s="1"/>
  <c r="T17" i="4"/>
  <c r="E11" i="26"/>
  <c r="E13" i="26" s="1"/>
  <c r="C8" i="26"/>
  <c r="C9" i="26"/>
  <c r="O14" i="10"/>
  <c r="P14" i="10"/>
  <c r="D34" i="22"/>
  <c r="D36" i="22" s="1"/>
  <c r="E36" i="22"/>
  <c r="D22" i="24"/>
  <c r="D22" i="22"/>
  <c r="N8" i="10"/>
  <c r="E8" i="10" s="1"/>
  <c r="R8" i="10"/>
  <c r="D24" i="26" l="1"/>
  <c r="C24" i="26" s="1"/>
  <c r="C22" i="26"/>
  <c r="D11" i="26"/>
  <c r="D13" i="26" s="1"/>
  <c r="C13" i="26" s="1"/>
  <c r="C11" i="26"/>
  <c r="P6" i="10"/>
  <c r="P7" i="10"/>
  <c r="Q6" i="10"/>
  <c r="Q7" i="10"/>
  <c r="P5" i="10"/>
  <c r="Q5" i="10"/>
  <c r="O6" i="10"/>
  <c r="L6" i="10" s="1"/>
  <c r="M6" i="10" s="1"/>
  <c r="J6" i="10" s="1"/>
  <c r="O7" i="10"/>
  <c r="L7" i="10" s="1"/>
  <c r="M7" i="10" s="1"/>
  <c r="J7" i="10" s="1"/>
  <c r="O5" i="10" l="1"/>
  <c r="L5" i="10" s="1"/>
  <c r="L8" i="10" s="1"/>
  <c r="D6" i="10"/>
  <c r="C6" i="10" s="1"/>
  <c r="D7" i="10"/>
  <c r="C7" i="10" s="1"/>
  <c r="I7" i="10"/>
  <c r="L18" i="10"/>
  <c r="J18" i="10" s="1"/>
  <c r="I6" i="10"/>
  <c r="L17" i="10"/>
  <c r="J17" i="10" s="1"/>
  <c r="M5" i="10" l="1"/>
  <c r="D5" i="10" s="1"/>
  <c r="O8" i="10"/>
  <c r="J5" i="10"/>
  <c r="D8" i="10" l="1"/>
  <c r="C5" i="10"/>
  <c r="C8" i="10" s="1"/>
  <c r="I5" i="10"/>
  <c r="I8" i="10" s="1"/>
  <c r="L16" i="10"/>
  <c r="J16" i="10" s="1"/>
</calcChain>
</file>

<file path=xl/comments1.xml><?xml version="1.0" encoding="utf-8"?>
<comments xmlns="http://schemas.openxmlformats.org/spreadsheetml/2006/main">
  <authors>
    <author>b.soltani</author>
  </authors>
  <commentList>
    <comment ref="Q3" authorId="0">
      <text>
        <r>
          <rPr>
            <b/>
            <sz val="8"/>
            <color indexed="81"/>
            <rFont val="Tahoma"/>
            <family val="2"/>
          </rPr>
          <t>b.soltani: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b.soltani</author>
  </authors>
  <commentList>
    <comment ref="Q3" authorId="0">
      <text>
        <r>
          <rPr>
            <b/>
            <sz val="8"/>
            <color indexed="81"/>
            <rFont val="Tahoma"/>
            <family val="2"/>
          </rPr>
          <t>b.soltani: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b.soltani</author>
  </authors>
  <commentList>
    <comment ref="Q3" authorId="0">
      <text>
        <r>
          <rPr>
            <b/>
            <sz val="8"/>
            <color indexed="81"/>
            <rFont val="Tahoma"/>
            <family val="2"/>
          </rPr>
          <t>b.soltani: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<sst xmlns="http://schemas.openxmlformats.org/spreadsheetml/2006/main" count="1199" uniqueCount="526">
  <si>
    <t xml:space="preserve">فروردین </t>
  </si>
  <si>
    <t>اردیبهشت</t>
  </si>
  <si>
    <t>خرداد</t>
  </si>
  <si>
    <t xml:space="preserve">تیر </t>
  </si>
  <si>
    <t>مرداد</t>
  </si>
  <si>
    <t>شهریور</t>
  </si>
  <si>
    <t>مهر</t>
  </si>
  <si>
    <t>آبان</t>
  </si>
  <si>
    <t>اذر</t>
  </si>
  <si>
    <t>دی</t>
  </si>
  <si>
    <t>بهمن</t>
  </si>
  <si>
    <t xml:space="preserve">اسفند </t>
  </si>
  <si>
    <t>جمع</t>
  </si>
  <si>
    <t>تعداد</t>
  </si>
  <si>
    <t>فی</t>
  </si>
  <si>
    <t>مبلغ</t>
  </si>
  <si>
    <t>محصول A</t>
  </si>
  <si>
    <t>وصول وجه فروش -فروردین</t>
  </si>
  <si>
    <t>وصول وجه فروش اردیبهشت</t>
  </si>
  <si>
    <t>وصول وجه فروش -خرداد</t>
  </si>
  <si>
    <t>وصول وجه فروش -تیر</t>
  </si>
  <si>
    <t>وصول وجه فروش مرداد</t>
  </si>
  <si>
    <t>وصول وجه فروش -شهریور</t>
  </si>
  <si>
    <t>وصول وجه فروش -مهر</t>
  </si>
  <si>
    <t>وصول وجه فروش -ابان</t>
  </si>
  <si>
    <t>وصول وجه فروش -اذر</t>
  </si>
  <si>
    <t>وصول وجه فروش دی</t>
  </si>
  <si>
    <t>وصول وجه فروش بهمن</t>
  </si>
  <si>
    <t>وصول وجه فروش -اسفند</t>
  </si>
  <si>
    <t>جمع وجوه حاصل از فروش</t>
  </si>
  <si>
    <t>محصول C</t>
  </si>
  <si>
    <t>موجودی پایان دوره</t>
  </si>
  <si>
    <t xml:space="preserve">فی </t>
  </si>
  <si>
    <t>نام محصول</t>
  </si>
  <si>
    <t>اول دوره</t>
  </si>
  <si>
    <t>اماده فروش</t>
  </si>
  <si>
    <t>قیمت تمام شده کالای  فروش رفته</t>
  </si>
  <si>
    <t>سود و زیان</t>
  </si>
  <si>
    <t>ترازنامه سال قبل</t>
  </si>
  <si>
    <t xml:space="preserve">ترازنامه - پایان سال </t>
  </si>
  <si>
    <t xml:space="preserve">گردش محصول ساخته شده </t>
  </si>
  <si>
    <t>فروردین</t>
  </si>
  <si>
    <t>ابان</t>
  </si>
  <si>
    <t>اسفند</t>
  </si>
  <si>
    <t>جمع کل</t>
  </si>
  <si>
    <t>اضافه کار</t>
  </si>
  <si>
    <t>مسکن</t>
  </si>
  <si>
    <t xml:space="preserve">خوار بار </t>
  </si>
  <si>
    <t xml:space="preserve">اولاد </t>
  </si>
  <si>
    <t>حق بیمه سهم کارفرما</t>
  </si>
  <si>
    <t xml:space="preserve">عیدی </t>
  </si>
  <si>
    <t xml:space="preserve">پاداش غیر نقدی </t>
  </si>
  <si>
    <t xml:space="preserve">سایر هزینه های پرسنلی </t>
  </si>
  <si>
    <t>مزایای پایان خدمت</t>
  </si>
  <si>
    <t>جمع پرداخت نقدی ( انتقال به جریان وجوه نقد )</t>
  </si>
  <si>
    <t>جمع مراکز خدماتی :</t>
  </si>
  <si>
    <t>جمع مراکز تولیدی :</t>
  </si>
  <si>
    <t xml:space="preserve">استهلاک دارایی ثابت مشهود </t>
  </si>
  <si>
    <t xml:space="preserve">بیمه دارایی </t>
  </si>
  <si>
    <t>سوخت و انرژی</t>
  </si>
  <si>
    <t xml:space="preserve">قطعات و ملزومات مصرفی </t>
  </si>
  <si>
    <t>سوخت وسایط نقلیه</t>
  </si>
  <si>
    <t xml:space="preserve">مواد کمکی مصرفی </t>
  </si>
  <si>
    <t xml:space="preserve">تعمیر و نگهداشت </t>
  </si>
  <si>
    <t>ایاب ذهاب</t>
  </si>
  <si>
    <t xml:space="preserve">جمع پرداخت نقدی </t>
  </si>
  <si>
    <t>جمع هزینه  پرسنلی خدمات</t>
  </si>
  <si>
    <t xml:space="preserve">جمع سایر هزینه سربار  </t>
  </si>
  <si>
    <t>جمع پرداخت نقدی</t>
  </si>
  <si>
    <t>جمع کل سربار - انتقال به ق.ت.ک.ف</t>
  </si>
  <si>
    <t>جمع پرداخت نقدی - انتقال به جریان وجوه نقد</t>
  </si>
  <si>
    <t>جمع مراکزاداری ( دبیر خانه - کارگزینی - نگهبانی ...)</t>
  </si>
  <si>
    <t xml:space="preserve"> ملزومات مصرفی </t>
  </si>
  <si>
    <t xml:space="preserve">چاپ و اگهی </t>
  </si>
  <si>
    <t xml:space="preserve">اجاره </t>
  </si>
  <si>
    <t xml:space="preserve">جمع سایر هزینه اداری   </t>
  </si>
  <si>
    <t xml:space="preserve">جمع کل هزینه اداری  - انتقال به سود و زیان </t>
  </si>
  <si>
    <t>جمع مراکزتوزیع و فروش  (بازاریابی / فروش ...)</t>
  </si>
  <si>
    <t>ملزمات مصرفی</t>
  </si>
  <si>
    <t xml:space="preserve">حق العمل کاری و کمیسیون فروش </t>
  </si>
  <si>
    <t xml:space="preserve">نمونه های اعطایی </t>
  </si>
  <si>
    <t xml:space="preserve">چاپ و اگهی و هزینه های نمایشگاهی </t>
  </si>
  <si>
    <t xml:space="preserve"> حمل و نقل </t>
  </si>
  <si>
    <t xml:space="preserve">جمع سایر هزینه های توزیع و فروش   </t>
  </si>
  <si>
    <t xml:space="preserve">جمع کل هزینه های توزیع و فروش   - انتقال به سود و زیان </t>
  </si>
  <si>
    <t>زمین</t>
  </si>
  <si>
    <t xml:space="preserve">ساختمان ها </t>
  </si>
  <si>
    <t>تاسیسات</t>
  </si>
  <si>
    <t>ماشین الات و تجهیزات تولیدی</t>
  </si>
  <si>
    <t xml:space="preserve">وسایط نقلیه </t>
  </si>
  <si>
    <t xml:space="preserve">جمع دارایی های ثابت </t>
  </si>
  <si>
    <t>دارایی های در جریان تکمیل :</t>
  </si>
  <si>
    <t xml:space="preserve">موجودی های سرمایه ایی </t>
  </si>
  <si>
    <t>اثاثیه و منصوبات</t>
  </si>
  <si>
    <t>ابزار آلات</t>
  </si>
  <si>
    <t>شرح اقلام</t>
  </si>
  <si>
    <t>بهای تمام شده دارایی های ثابت مشهود</t>
  </si>
  <si>
    <t xml:space="preserve">استهلاک انباشته </t>
  </si>
  <si>
    <t>روش استهلاک</t>
  </si>
  <si>
    <t>نرخ</t>
  </si>
  <si>
    <t>مستقیم</t>
  </si>
  <si>
    <t>10 سال</t>
  </si>
  <si>
    <t xml:space="preserve">نزولی </t>
  </si>
  <si>
    <t>12درصد</t>
  </si>
  <si>
    <t xml:space="preserve">مستقیم </t>
  </si>
  <si>
    <t>8 سال</t>
  </si>
  <si>
    <t>25 درصد</t>
  </si>
  <si>
    <t xml:space="preserve">مرکز هزینه - اداری </t>
  </si>
  <si>
    <t xml:space="preserve">مرکز هزینه خدماتی </t>
  </si>
  <si>
    <t xml:space="preserve">مرکز فروش </t>
  </si>
  <si>
    <t>INCOME STATEMENT</t>
  </si>
  <si>
    <t>SALES &amp; REVENUE</t>
  </si>
  <si>
    <t>S</t>
  </si>
  <si>
    <t xml:space="preserve">فروش و درامد </t>
  </si>
  <si>
    <t>LESS :</t>
  </si>
  <si>
    <t xml:space="preserve">کسر میشود : </t>
  </si>
  <si>
    <t>SALES RETURN(S)</t>
  </si>
  <si>
    <t>(SR)</t>
  </si>
  <si>
    <t xml:space="preserve">برگشت از فروش </t>
  </si>
  <si>
    <t>DISCOUNTS</t>
  </si>
  <si>
    <t>(D)</t>
  </si>
  <si>
    <t xml:space="preserve">تخفیفات </t>
  </si>
  <si>
    <t>NET SALES &amp; REVENUE</t>
  </si>
  <si>
    <t>NS</t>
  </si>
  <si>
    <t xml:space="preserve">خالص فروش و درامد </t>
  </si>
  <si>
    <t>LESS:</t>
  </si>
  <si>
    <t>COST OF GOODS SOLD</t>
  </si>
  <si>
    <t>(CGS)</t>
  </si>
  <si>
    <t>GROSS PROFIT/ GROSS MARGIN</t>
  </si>
  <si>
    <t>GP</t>
  </si>
  <si>
    <t>سود ناخالص</t>
  </si>
  <si>
    <t>(AE)</t>
  </si>
  <si>
    <t xml:space="preserve">هزینه های اداری </t>
  </si>
  <si>
    <t>SALES EXPENCE</t>
  </si>
  <si>
    <t>(SE)</t>
  </si>
  <si>
    <t xml:space="preserve">هزینه های فروش </t>
  </si>
  <si>
    <t>OPERATIONAL PROFIT( EBIT)</t>
  </si>
  <si>
    <t>OP</t>
  </si>
  <si>
    <t>سود عملیاتی :</t>
  </si>
  <si>
    <t>LESS</t>
  </si>
  <si>
    <t xml:space="preserve">کسر میشود  </t>
  </si>
  <si>
    <t>(FE)</t>
  </si>
  <si>
    <t xml:space="preserve">هزینه های مالی </t>
  </si>
  <si>
    <t xml:space="preserve">ADD </t>
  </si>
  <si>
    <t>اضافه میشود :</t>
  </si>
  <si>
    <t>ORNOE</t>
  </si>
  <si>
    <t xml:space="preserve">خالص سایر درامد ها و هزینه غیر عملیاتی </t>
  </si>
  <si>
    <t>EARNING BEFORE TAX</t>
  </si>
  <si>
    <t>EBT</t>
  </si>
  <si>
    <t>سود قبل از مالیات</t>
  </si>
  <si>
    <t>TAX</t>
  </si>
  <si>
    <t>T</t>
  </si>
  <si>
    <t>مالیات</t>
  </si>
  <si>
    <t>NET PROFIT</t>
  </si>
  <si>
    <t>NP</t>
  </si>
  <si>
    <t>سود خالص</t>
  </si>
  <si>
    <t xml:space="preserve">بدهی های جاری </t>
  </si>
  <si>
    <t>دارایی های جاری</t>
  </si>
  <si>
    <t>حسابهای پرداختنی</t>
  </si>
  <si>
    <t xml:space="preserve">وجوه نقد </t>
  </si>
  <si>
    <t xml:space="preserve">سایر حسابهای پرداختنی </t>
  </si>
  <si>
    <t xml:space="preserve">سرمایه گذاری کوتاه مدت </t>
  </si>
  <si>
    <t xml:space="preserve">پیش دریافت </t>
  </si>
  <si>
    <t>حسابهای در یافتنی</t>
  </si>
  <si>
    <t>ذخیره مالیات</t>
  </si>
  <si>
    <t xml:space="preserve">سایر حسابهای دریافتنی </t>
  </si>
  <si>
    <t xml:space="preserve">سود سهام پرداختنی </t>
  </si>
  <si>
    <t xml:space="preserve">پیش پرداخت و شفارشات اسنادی </t>
  </si>
  <si>
    <t>تسهیلات مالی</t>
  </si>
  <si>
    <t xml:space="preserve">موجودی کالا </t>
  </si>
  <si>
    <t xml:space="preserve">جمع بدهی های جاری </t>
  </si>
  <si>
    <t xml:space="preserve">جمع دارایی های جاری </t>
  </si>
  <si>
    <t xml:space="preserve">بدهی های غیر جاری </t>
  </si>
  <si>
    <t xml:space="preserve">دارایی های غیر جاری </t>
  </si>
  <si>
    <t xml:space="preserve">حسا بها و اسناد پرداختنی بلند مدت </t>
  </si>
  <si>
    <t xml:space="preserve">دارایی های ثابت مشهود </t>
  </si>
  <si>
    <t xml:space="preserve">تسهلات مالی بلند مدت </t>
  </si>
  <si>
    <t xml:space="preserve">دارایی های نامشهود </t>
  </si>
  <si>
    <t xml:space="preserve">ذخیره مزایای پایان خدمت کارکنان </t>
  </si>
  <si>
    <t xml:space="preserve">سرمایه گذاری بلند مدت </t>
  </si>
  <si>
    <t xml:space="preserve">سایر دارایی ها </t>
  </si>
  <si>
    <t xml:space="preserve">جمع بدهی های غیر جاری </t>
  </si>
  <si>
    <t xml:space="preserve">جمع دارایی های غیر جاری </t>
  </si>
  <si>
    <t xml:space="preserve">حقوق صاحبان سهام </t>
  </si>
  <si>
    <t>سرمایه</t>
  </si>
  <si>
    <t xml:space="preserve">سود و زیان انباشته </t>
  </si>
  <si>
    <t xml:space="preserve">اندوحته قانونی </t>
  </si>
  <si>
    <t>ارزش ویژه</t>
  </si>
  <si>
    <t xml:space="preserve">جمع دارایی ها </t>
  </si>
  <si>
    <t>شرکت ......... ( سهامی عام / خاص )</t>
  </si>
  <si>
    <t>عنوان حسابها</t>
  </si>
  <si>
    <t>وجه نقد - ابتدای دوره</t>
  </si>
  <si>
    <t xml:space="preserve">جمع وجوه در اختیار </t>
  </si>
  <si>
    <t xml:space="preserve">خرید مواد اولیه </t>
  </si>
  <si>
    <t>پرداخت دستمزد مستقیم</t>
  </si>
  <si>
    <t>سرمایه گذاری های ثابت مشهود</t>
  </si>
  <si>
    <t>جمع پرداخت ها</t>
  </si>
  <si>
    <t>کسری یا اضافه وجوه</t>
  </si>
  <si>
    <t>اخذ تسهیلات مالی</t>
  </si>
  <si>
    <t>پرداخت اقساط بانکی</t>
  </si>
  <si>
    <t>وجه نقد پایان دوره</t>
  </si>
  <si>
    <t>تیر</t>
  </si>
  <si>
    <t xml:space="preserve">خرید و احداث طی سال </t>
  </si>
  <si>
    <t xml:space="preserve">ياداشت </t>
  </si>
  <si>
    <t>.</t>
  </si>
  <si>
    <t>ياداشت 4 -</t>
  </si>
  <si>
    <t xml:space="preserve">وجه نقد نزد بانك ها </t>
  </si>
  <si>
    <t xml:space="preserve">ريال </t>
  </si>
  <si>
    <t xml:space="preserve">جمع </t>
  </si>
  <si>
    <t>ياداشت 5-</t>
  </si>
  <si>
    <t xml:space="preserve">ياداشت 6- </t>
  </si>
  <si>
    <t xml:space="preserve">بدهكاران تجاري </t>
  </si>
  <si>
    <t xml:space="preserve">شركت الف : </t>
  </si>
  <si>
    <t xml:space="preserve">شركت ب: </t>
  </si>
  <si>
    <t xml:space="preserve">شركت ج: </t>
  </si>
  <si>
    <t>جدول ياداشت 6</t>
  </si>
  <si>
    <t xml:space="preserve">محصول ساخته شده </t>
  </si>
  <si>
    <t xml:space="preserve">موجودي مواد اوليه </t>
  </si>
  <si>
    <t>ياداشت 6/1</t>
  </si>
  <si>
    <t xml:space="preserve">موجودي كالاي ساخته شده </t>
  </si>
  <si>
    <t xml:space="preserve">بهاي واحد </t>
  </si>
  <si>
    <t xml:space="preserve">موجودي مواد اوليه  </t>
  </si>
  <si>
    <t>ياداشت 9-</t>
  </si>
  <si>
    <t>ياداشت 9/1</t>
  </si>
  <si>
    <t>ياداشت 9/2</t>
  </si>
  <si>
    <t>ياداشت 8 -</t>
  </si>
  <si>
    <t>جدول 9/1</t>
  </si>
  <si>
    <t>جدول 9/2</t>
  </si>
  <si>
    <t>جدول 10/1</t>
  </si>
  <si>
    <t xml:space="preserve">جدول دارايي هاي ثابت و استهلاك </t>
  </si>
  <si>
    <t>جمع دارايي در جريان تكميل و سرمايه ايي</t>
  </si>
  <si>
    <t xml:space="preserve">جمع كل </t>
  </si>
  <si>
    <t>ياداشت 10 -</t>
  </si>
  <si>
    <t xml:space="preserve">ياداشت 11- </t>
  </si>
  <si>
    <t xml:space="preserve">ياداشت 14- </t>
  </si>
  <si>
    <t>جدول 14/1</t>
  </si>
  <si>
    <t xml:space="preserve">شركت ج : </t>
  </si>
  <si>
    <t xml:space="preserve">شركت د: </t>
  </si>
  <si>
    <t xml:space="preserve">شركت ه: </t>
  </si>
  <si>
    <t xml:space="preserve">ياداشت 17- </t>
  </si>
  <si>
    <t xml:space="preserve">ياداشت 18- </t>
  </si>
  <si>
    <t xml:space="preserve">p= اصل وام </t>
  </si>
  <si>
    <t xml:space="preserve">r=نرخ بهره </t>
  </si>
  <si>
    <t xml:space="preserve">q= تعداد اقساط طي سال </t>
  </si>
  <si>
    <t xml:space="preserve">n=تعداد كل اقساط </t>
  </si>
  <si>
    <t xml:space="preserve">I = مبلغ اقساط </t>
  </si>
  <si>
    <t xml:space="preserve">TI = اصل و بهره </t>
  </si>
  <si>
    <t xml:space="preserve">اصل اقساط </t>
  </si>
  <si>
    <t xml:space="preserve">سود اقساط </t>
  </si>
  <si>
    <t xml:space="preserve">سود ساليانه </t>
  </si>
  <si>
    <t xml:space="preserve">جدول محاسبات بهره وام </t>
  </si>
  <si>
    <t>ياداشت 19و21</t>
  </si>
  <si>
    <t xml:space="preserve">ياداشت 22- </t>
  </si>
  <si>
    <t xml:space="preserve">ياداشت 23- </t>
  </si>
  <si>
    <t>اقاي A</t>
  </si>
  <si>
    <t xml:space="preserve">اسامي سهامداران </t>
  </si>
  <si>
    <t>آقاي B</t>
  </si>
  <si>
    <t xml:space="preserve">جمع مراكز </t>
  </si>
  <si>
    <t xml:space="preserve">شرح دارايي ها </t>
  </si>
  <si>
    <t>درآمد های غیر عملیاتی ( سپرده و اوراق )</t>
  </si>
  <si>
    <t>جمع دارایی در جریان تکمیل و سرمایه ایی</t>
  </si>
  <si>
    <t>حسابهای برداختنی</t>
  </si>
  <si>
    <t xml:space="preserve">تولید  طي سال </t>
  </si>
  <si>
    <t xml:space="preserve">بهای تمام شده  كالاي فروش رفته </t>
  </si>
  <si>
    <t>بودجه</t>
  </si>
  <si>
    <t>جمع بهاي تمام شده توليد</t>
  </si>
  <si>
    <t>سایر هزینه های توزیع و فروش  عنوان هزينه</t>
  </si>
  <si>
    <t xml:space="preserve"> ساير هزينه هاي اداري عنوان هزینه </t>
  </si>
  <si>
    <t>عنوان هزینه  ساير هزينه هاي سربار</t>
  </si>
  <si>
    <t xml:space="preserve">عنوان هزینه - هزينه هاي پرسنلي </t>
  </si>
  <si>
    <t xml:space="preserve">دستمزد پرسنل خدماتی </t>
  </si>
  <si>
    <t xml:space="preserve">جمع ساير دارايي هاي ثابت  </t>
  </si>
  <si>
    <t>جمع كل</t>
  </si>
  <si>
    <t>پيش پرداخت ها</t>
  </si>
  <si>
    <t>دارايي هاي نامشهود</t>
  </si>
  <si>
    <t>ذخيره مالياتي</t>
  </si>
  <si>
    <t>وام كوتاه مدت -ريال</t>
  </si>
  <si>
    <t>وام بلند مدت - ريال</t>
  </si>
  <si>
    <t>ياداشت 24</t>
  </si>
  <si>
    <t>ياداشت 25-</t>
  </si>
  <si>
    <t>اندوخته قانوني</t>
  </si>
  <si>
    <t>سود انباشته</t>
  </si>
  <si>
    <t>فروردين</t>
  </si>
  <si>
    <t>ارديبهشت</t>
  </si>
  <si>
    <t xml:space="preserve">تير </t>
  </si>
  <si>
    <t>شهريور</t>
  </si>
  <si>
    <t>دي</t>
  </si>
  <si>
    <t>استهلاك فروش رفته</t>
  </si>
  <si>
    <t>شرح</t>
  </si>
  <si>
    <t>مقدار موجودي اول دوره</t>
  </si>
  <si>
    <t>توليد</t>
  </si>
  <si>
    <t>آماده براي فروش</t>
  </si>
  <si>
    <t>فروش</t>
  </si>
  <si>
    <t>موجودي پايان دوره</t>
  </si>
  <si>
    <t>برنامه ريزي مواد اوليه :</t>
  </si>
  <si>
    <t xml:space="preserve">مبلغ كل  خريد </t>
  </si>
  <si>
    <t xml:space="preserve">نحوه پرداخت مبلغ كل خريد </t>
  </si>
  <si>
    <t xml:space="preserve">جمع خريد نقدي : انتفال به گردش جريان وجه نقد </t>
  </si>
  <si>
    <t>گردش انبار مواد اوليه :</t>
  </si>
  <si>
    <t>تعداد موجودي مواد اوليه اول دوره</t>
  </si>
  <si>
    <t>قيمت واحد - ريال</t>
  </si>
  <si>
    <t xml:space="preserve">مبلغ </t>
  </si>
  <si>
    <t xml:space="preserve">تعداد خريد </t>
  </si>
  <si>
    <t>مبلغ خريد</t>
  </si>
  <si>
    <t>تعداد آماده مصرف</t>
  </si>
  <si>
    <t xml:space="preserve">تعداد مصرف مواد اوليه </t>
  </si>
  <si>
    <t xml:space="preserve">تعداد  موجودي مواد اوليه  پايان دوره </t>
  </si>
  <si>
    <t>تير</t>
  </si>
  <si>
    <t>ماه1</t>
  </si>
  <si>
    <t>ماه2</t>
  </si>
  <si>
    <t>ماه3</t>
  </si>
  <si>
    <t>ماه4</t>
  </si>
  <si>
    <t>ماه5</t>
  </si>
  <si>
    <t>ماه6</t>
  </si>
  <si>
    <t>ماه7</t>
  </si>
  <si>
    <t>ماه8</t>
  </si>
  <si>
    <t>ماه9</t>
  </si>
  <si>
    <t>ماه10</t>
  </si>
  <si>
    <t>ماه11</t>
  </si>
  <si>
    <t>ماه12</t>
  </si>
  <si>
    <t>محصول  B</t>
  </si>
  <si>
    <t>اصل اقساط وام سال قبل</t>
  </si>
  <si>
    <t xml:space="preserve">سود اقساط وام سال قبل </t>
  </si>
  <si>
    <t xml:space="preserve">پرداخت سود تسهیلات دریافتی جديد </t>
  </si>
  <si>
    <t xml:space="preserve">ضريب تورم </t>
  </si>
  <si>
    <t xml:space="preserve">ترازنامه در تاریخ 90/12/29 </t>
  </si>
  <si>
    <t>سرمایه گذاری های نا مشهود</t>
  </si>
  <si>
    <t>اخد علی الحساب افزایش سرمایه / يا قرض الحسنه</t>
  </si>
  <si>
    <t>FINANCIAL EXPENSES</t>
  </si>
  <si>
    <t>OTHER NET REVENUES &amp; NONE OPERACIANAL EXPENSES</t>
  </si>
  <si>
    <t>ADMINISTRATIVE EXPENSE</t>
  </si>
  <si>
    <t>ابزارآلات</t>
  </si>
  <si>
    <t>افزايش</t>
  </si>
  <si>
    <t>كاهش</t>
  </si>
  <si>
    <t xml:space="preserve">شرح مواد اوليه </t>
  </si>
  <si>
    <t>مشخصات فني</t>
  </si>
  <si>
    <t>رديف</t>
  </si>
  <si>
    <t>سود پرداختني سهامداران</t>
  </si>
  <si>
    <t>ريال</t>
  </si>
  <si>
    <t xml:space="preserve">ارزش دفتري دارايي هاي ثابت مشهود </t>
  </si>
  <si>
    <t xml:space="preserve">حسابهاي پرداختني </t>
  </si>
  <si>
    <t xml:space="preserve">دارايي هاي ثابت مشهود </t>
  </si>
  <si>
    <t>استهلاك انباشته</t>
  </si>
  <si>
    <t>ارزش دفتري</t>
  </si>
  <si>
    <t>جدول 10</t>
  </si>
  <si>
    <t xml:space="preserve"> مرداد</t>
  </si>
  <si>
    <t xml:space="preserve">جريان وجه نقد از فروش </t>
  </si>
  <si>
    <t>سال بعد از بودجه</t>
  </si>
  <si>
    <t xml:space="preserve">حسابهاي دريافتني </t>
  </si>
  <si>
    <t xml:space="preserve">صورت جريان وجه نقد </t>
  </si>
  <si>
    <t xml:space="preserve">نمونه محصولات اعطايي </t>
  </si>
  <si>
    <t xml:space="preserve">هزينه هاي فروش </t>
  </si>
  <si>
    <t xml:space="preserve"> ساعت اضافه كار</t>
  </si>
  <si>
    <t>حقوق پايه</t>
  </si>
  <si>
    <t>دستمزد پرسنل فروش</t>
  </si>
  <si>
    <t>جمع هزینه  پرسنلی فروش</t>
  </si>
  <si>
    <t>دستمزد پرسنل مستقيم توليدي</t>
  </si>
  <si>
    <t xml:space="preserve">جمع هزینه  پرسنلی توليد </t>
  </si>
  <si>
    <t>دستمزد پرسنل اداري</t>
  </si>
  <si>
    <t>جمع هزینه  پرسنلی اداري</t>
  </si>
  <si>
    <t>نقل و انتقال</t>
  </si>
  <si>
    <t>ضريب مصرف در واحد محصول B</t>
  </si>
  <si>
    <t>ضريب مصرف در واحد محصول C</t>
  </si>
  <si>
    <t>جدول BOM  جهت محصولات    ..........</t>
  </si>
  <si>
    <t>بهاي مواد اوليه محصول A</t>
  </si>
  <si>
    <t>بهاي مواد اوليه محصول B</t>
  </si>
  <si>
    <t>بهاي مواد اوليه  محصول C</t>
  </si>
  <si>
    <t xml:space="preserve">سال بعد </t>
  </si>
  <si>
    <t>گردش محصول B</t>
  </si>
  <si>
    <t>گردش محصول C</t>
  </si>
  <si>
    <t xml:space="preserve">سپرده كوتاه  مدت  به شماره 1-100-234567 </t>
  </si>
  <si>
    <t>مبلغ - ريال</t>
  </si>
  <si>
    <t>مواد اولیه - ريال</t>
  </si>
  <si>
    <t>دستمزد- ريال</t>
  </si>
  <si>
    <t>سربار-ريال</t>
  </si>
  <si>
    <t>ارزش  دفتری</t>
  </si>
  <si>
    <t>1392/12/29</t>
  </si>
  <si>
    <t>FOR FINANCIAL YEAR TO END 1392</t>
  </si>
  <si>
    <t>بهاي واحد :</t>
  </si>
  <si>
    <t>تعداد فروش فروردين</t>
  </si>
  <si>
    <t xml:space="preserve">ظرفيت اسمي </t>
  </si>
  <si>
    <t xml:space="preserve">پيش بيني فروش </t>
  </si>
  <si>
    <t>درصد ظرفيت بلااستفاده</t>
  </si>
  <si>
    <t>فروش محصول A</t>
  </si>
  <si>
    <t>جمع فروش سال 93</t>
  </si>
  <si>
    <t>درامد نقدي فروش سال93</t>
  </si>
  <si>
    <t>وصول مطالبات ( حسابهاي  دريافتني 1392 )</t>
  </si>
  <si>
    <t>صورت گردش جریان وجوه نقد - برای سال 1393</t>
  </si>
  <si>
    <t>فروش سال 93</t>
  </si>
  <si>
    <t xml:space="preserve">درصد ذخيره كالا </t>
  </si>
  <si>
    <t>درصد  ذخيره مواد اوليه</t>
  </si>
  <si>
    <t>جمع سال 1393</t>
  </si>
  <si>
    <t>مبلغ مواد اوليه اول سال 93</t>
  </si>
  <si>
    <t>مبلغ خريد طي سال 93</t>
  </si>
  <si>
    <t xml:space="preserve">مبلغ آماده مصرف در واحد صنعتي </t>
  </si>
  <si>
    <t>ارزش مواد اوليه پايان سال 93</t>
  </si>
  <si>
    <t>مصرف مواد اوليه و بسته بندي</t>
  </si>
  <si>
    <t>1/1/93</t>
  </si>
  <si>
    <t>29/12/93</t>
  </si>
  <si>
    <t xml:space="preserve">بودجه بندي خريد و احداث دارايي هاي ثابت مشهود </t>
  </si>
  <si>
    <t xml:space="preserve">مراكز هزينه </t>
  </si>
  <si>
    <t xml:space="preserve">تعداد كاركنان </t>
  </si>
  <si>
    <t xml:space="preserve">حقوق و مزاياي ماهيانه </t>
  </si>
  <si>
    <t xml:space="preserve">توليد </t>
  </si>
  <si>
    <t xml:space="preserve">اداري </t>
  </si>
  <si>
    <t xml:space="preserve">فروش </t>
  </si>
  <si>
    <t xml:space="preserve">خدماتي </t>
  </si>
  <si>
    <t xml:space="preserve">حقوق و مزاياي فردي ماهيانه  </t>
  </si>
  <si>
    <t>منتهی به 93/12/29</t>
  </si>
  <si>
    <t>بهاي تمام شده</t>
  </si>
  <si>
    <t xml:space="preserve">نام محصول </t>
  </si>
  <si>
    <t xml:space="preserve">بهاي فروش </t>
  </si>
  <si>
    <t xml:space="preserve">سود و زيان </t>
  </si>
  <si>
    <t xml:space="preserve">مقايسه فروش واحد و بهاي تمام شده </t>
  </si>
  <si>
    <t xml:space="preserve">  ترازنامه سال 1392( شركت نمونه سهامي خاص )</t>
  </si>
  <si>
    <t>29/12/92</t>
  </si>
  <si>
    <t xml:space="preserve">مانده حساب پيش پرداخت ها و سفارشات در پايان سال 92 مبلغ 750،000،000 ريال و مربوط به 20% پيش پرداخت خريد مواد اوليه مي باشد كه موعد تحويل ان سه ماهه اول سال 93 مي باشد . </t>
  </si>
  <si>
    <t>خانم E</t>
  </si>
  <si>
    <t xml:space="preserve">درصد مشاركت </t>
  </si>
  <si>
    <t>1393/12/29</t>
  </si>
  <si>
    <t xml:space="preserve">ساير </t>
  </si>
  <si>
    <t>مانده در 92/12/29</t>
  </si>
  <si>
    <t>خريد 93</t>
  </si>
  <si>
    <t>مانده در 93/12/29</t>
  </si>
  <si>
    <t>استهلاك 93</t>
  </si>
  <si>
    <t>مانده ارزش دفتري  در 92/12/29</t>
  </si>
  <si>
    <t>مانده ارزش دفتري  در 93/12/29</t>
  </si>
  <si>
    <t xml:space="preserve">مانده حسابهاي دريافتني در پايان سال 92 مبلغ 2،000،000،000 ريال و بشرح زير مي باشد . پيش بيني دوره وصول مطالبات شركت در جدول پيوست اراده شده است . </t>
  </si>
  <si>
    <t>مانده ارزش دفتري  دارايي هاي ثابت مشهود در پايان سال 92 مبلغ 45،400،000،000 ريال و بشرح جدول 10/1 مي باشد .</t>
  </si>
  <si>
    <t xml:space="preserve">مانده حساب دارايي هاي نامشهود در پايان سال 92 مبلغ 679،250،000 ريال و بابت حق انشعاب برق كارخانه مي باشد . </t>
  </si>
  <si>
    <t xml:space="preserve">حسابهاي پرداختني / اسناد پرداختني </t>
  </si>
  <si>
    <t xml:space="preserve">چك 123456 سررسيد 15 مرداد شهرداري </t>
  </si>
  <si>
    <t>پيش بيني دوره وصول طلب در سال 1393</t>
  </si>
  <si>
    <t>باز پرداخت ديون شركت طي سال بودجه 1393</t>
  </si>
  <si>
    <t>تعداد فروش ارديبهشت</t>
  </si>
  <si>
    <t xml:space="preserve">جمع بدهی و حقوق صاحبان سهام  </t>
  </si>
  <si>
    <t>محصول کت و شلوار</t>
  </si>
  <si>
    <t>محصول شلوار</t>
  </si>
  <si>
    <t>محصول پالتو</t>
  </si>
  <si>
    <t>اسامي بدهكاران تجاري / حسابهای دریافتنی</t>
  </si>
  <si>
    <t>استری</t>
  </si>
  <si>
    <t xml:space="preserve">دگمه </t>
  </si>
  <si>
    <t>زیب</t>
  </si>
  <si>
    <t>کاور و چوب لباسی</t>
  </si>
  <si>
    <t>گردش محصول کت و شلوار</t>
  </si>
  <si>
    <t>ماده الف : پارچه کت و شلواری</t>
  </si>
  <si>
    <t>ماده ب :استری - کت و شلوار</t>
  </si>
  <si>
    <t>ماده ج : پارچه پالتو</t>
  </si>
  <si>
    <t xml:space="preserve">مانده سرمايه گذاري كوتاه مدت در پايان سال 1392 مبلغ 2500000000 ريال و مربوط به سپرده كوتاه  مدت  نزد بانك </t>
  </si>
  <si>
    <t xml:space="preserve">سرمايه شركت مبلغ 35000000000 ريال منقسم به 35000000 سهم 1000 ريالي عادي با نام تمام پرداخت مي باشد و اسامي سهامداران بشرح زير است </t>
  </si>
  <si>
    <t>زمان تولید - کت شلوار</t>
  </si>
  <si>
    <t>زمان تولید -  شلوار</t>
  </si>
  <si>
    <t>زمان تولید - پالتو</t>
  </si>
  <si>
    <t>دقیقه</t>
  </si>
  <si>
    <t>سال 1393</t>
  </si>
  <si>
    <t>ضريب تغيیرات قيمت</t>
  </si>
  <si>
    <t xml:space="preserve">ضريب تغيیرات مقدار فروش </t>
  </si>
  <si>
    <t>فروش محصول B</t>
  </si>
  <si>
    <t>فروش محصول C</t>
  </si>
  <si>
    <t xml:space="preserve">سایر هزینه ها و درامد های عملیاتی </t>
  </si>
  <si>
    <t>+</t>
  </si>
  <si>
    <t>_</t>
  </si>
  <si>
    <t xml:space="preserve">نسبت های سود اوری </t>
  </si>
  <si>
    <t xml:space="preserve">سود ناخلص / فروش </t>
  </si>
  <si>
    <t xml:space="preserve">سود عملیاتی به فروش </t>
  </si>
  <si>
    <t xml:space="preserve">سود قبل از مالیات به فروش </t>
  </si>
  <si>
    <t xml:space="preserve">سود خالص به فروش </t>
  </si>
  <si>
    <t>PROFITABILITY RATIO</t>
  </si>
  <si>
    <t xml:space="preserve">بهای تمام شده به فروش </t>
  </si>
  <si>
    <t>گزارش سود و زیان انباشته</t>
  </si>
  <si>
    <t>29/12/1393</t>
  </si>
  <si>
    <t xml:space="preserve">تعدیلات سنواتی </t>
  </si>
  <si>
    <t>سود ( زیان ) انباشته ابتدای سال</t>
  </si>
  <si>
    <t xml:space="preserve">سود( زیان ) انباشته تعدیل شده </t>
  </si>
  <si>
    <t>سود قابل تخصیص:</t>
  </si>
  <si>
    <t>اندوخته قانونی</t>
  </si>
  <si>
    <t>پاداش هیت مدیره</t>
  </si>
  <si>
    <t>جمع سود قابل تخصیص</t>
  </si>
  <si>
    <t>سود انباشته پایان سال</t>
  </si>
  <si>
    <t xml:space="preserve"> ROAسود خالص به میانگین دارایی ها </t>
  </si>
  <si>
    <t>سود خالص به حقوق صاحبان سهام ROE</t>
  </si>
  <si>
    <t>EPS سود هر سهم</t>
  </si>
  <si>
    <t>پرداخت سربار - نقدی</t>
  </si>
  <si>
    <t>پرداخت هزینه های اداری- نقدی</t>
  </si>
  <si>
    <t>پرداخت هزینه های فروش - نقدی</t>
  </si>
  <si>
    <t>مالیات عملکرد شرکت</t>
  </si>
  <si>
    <t xml:space="preserve">سایر درامد های عملیاتی </t>
  </si>
  <si>
    <t xml:space="preserve">مانده وجوه نقد در پايان سال 1392 مبلغ 4،820،750،000 ريال و بشرح زير مي باشد . </t>
  </si>
  <si>
    <t xml:space="preserve">صادرات شعبه مركزي است كه سود ان با نرخ 10% در سال در مقاطع ماهیانه ماهه به حساب جاری  شركت واريز مي گردد . </t>
  </si>
  <si>
    <t xml:space="preserve">مانده حسابهاي پرداختني در پايان سال 92 مبلغ 4،649،500،000 ريال و بشرح جدول 14/1 مي باشد </t>
  </si>
  <si>
    <t xml:space="preserve">مانده حساب ماليات پرداختني در پايان سال 1392 مبلغ 1،875،000،000   ريال و مربوط به ماليات عملكرد سال 1392 مي باشد كه تا پايان تير ماه 1393 مي بايستي پرداخت گردد . </t>
  </si>
  <si>
    <t xml:space="preserve">مانده حساب سود پيشنهادي در پايان سال 1392 مبلغ       562،500،000      ريال مي باشد كه در اجراي بند ماده 240 قانون تجارت توسط مجمع عمومي عادي ساليانه تعين شده است و حداكثر تا 8 ماه باید  به سهامداران پرداخت گردد. </t>
  </si>
  <si>
    <t xml:space="preserve">مانده حساب تسهيلات دريافتي ( وام- بانك ملت -قرارداد مشاركت مدني  ) در پايان سال 1392 مبلغ 15،600،000،000 ريال كه شامل  حصه جاري كوتاه مدت 2،600،000،000 ريال و حصه بلند مدت وام دريافتي مبلغ 13،000،000،000 ريال مي باشد . سود وام مذكور 24% در سال مي باشد كه طي 24 قسط مساوي سه ماهه تسويه خواهد شد . عرصه و اعيان كارخانه در ترهين بانك مذكور مي باشد . </t>
  </si>
  <si>
    <t xml:space="preserve">مانده مزاياي پايان خدمت كاركنان در پايان سال 1392 مبلغ 1،776،000،000 ريال مي باشد هر سال معادل يكماه حقوق و دستمزد ثابت بر اساس اخرين پايه حقوقي در حسابها منظور مي گردد . </t>
  </si>
  <si>
    <t>شرکت  الف</t>
  </si>
  <si>
    <t xml:space="preserve">شرکت ب </t>
  </si>
  <si>
    <t xml:space="preserve">مانده سود انباشته در پايان سال 92 مبلغ  4،781،250،000 ريال است </t>
  </si>
  <si>
    <t xml:space="preserve">مانده حساب اندوخته قانوني مبلغ  281،750،000  ريال مي باشد و طبق ماده 140 قانون تجارت هيات مديره هر سال يك بيستم از سود خالص بعنوان اندوخته كنار مي گذارد و تا وقتي كه اندوخته به يك دهم سرمايه بالغ گردد </t>
  </si>
  <si>
    <t>اختلاف تراز نامه 92</t>
  </si>
  <si>
    <t>اختلاف تراز نامه 93</t>
  </si>
  <si>
    <t>سود سهام - 10%</t>
  </si>
  <si>
    <t xml:space="preserve">پارچه کت و شلوار </t>
  </si>
  <si>
    <t>ضريب مصرف در واحد محصول A</t>
  </si>
  <si>
    <t>پارچه پالتو</t>
  </si>
  <si>
    <t xml:space="preserve">مانده حساب موجودي كالا در پايان سال 92 مبلغ 1136000000 ريال و بشرح زير مي باشد . </t>
  </si>
  <si>
    <t>فروش خالص</t>
  </si>
  <si>
    <t xml:space="preserve">مبلغ فروش ناخلص </t>
  </si>
  <si>
    <t xml:space="preserve"> تخفیفات</t>
  </si>
  <si>
    <t>فروش محصولات</t>
  </si>
  <si>
    <t xml:space="preserve">مقدار - فروش </t>
  </si>
  <si>
    <t xml:space="preserve">مبلغ فروش </t>
  </si>
  <si>
    <t xml:space="preserve">درصد </t>
  </si>
  <si>
    <t>A</t>
  </si>
  <si>
    <t>B</t>
  </si>
  <si>
    <t>C</t>
  </si>
  <si>
    <t>تولید</t>
  </si>
  <si>
    <t>مصرف</t>
  </si>
  <si>
    <t>موجودی اول دوره</t>
  </si>
  <si>
    <t>ماه</t>
  </si>
  <si>
    <t>مبلغ خرید</t>
  </si>
  <si>
    <t>مقدار خرید</t>
  </si>
  <si>
    <t>ضریب مصرف</t>
  </si>
  <si>
    <t>پارچه شلوار</t>
  </si>
  <si>
    <t>پارچه کت و شلوار</t>
  </si>
  <si>
    <t>موجودي كالا پايان سال 1392</t>
  </si>
  <si>
    <t>موجودي مواد اوليه پايان سال 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</si>
</sst>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[$-1020000]B1d\ mmmm\ yyyy;@"/>
  </numFmts>
  <fonts count="40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u/>
      <sz val="8.8000000000000007"/>
      <color theme="10"/>
      <name val="Calibri"/>
      <family val="2"/>
      <charset val="178"/>
    </font>
    <font>
      <sz val="20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28"/>
      <color theme="1"/>
      <name val="Arial"/>
      <family val="2"/>
      <scheme val="minor"/>
    </font>
    <font>
      <b/>
      <sz val="22"/>
      <name val="Arial"/>
      <family val="2"/>
      <scheme val="minor"/>
    </font>
    <font>
      <sz val="26"/>
      <name val="Arial"/>
      <family val="2"/>
      <scheme val="minor"/>
    </font>
    <font>
      <b/>
      <u/>
      <sz val="24"/>
      <color rgb="FFFF0000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sz val="26"/>
      <name val="Arial"/>
      <family val="2"/>
      <scheme val="minor"/>
    </font>
    <font>
      <b/>
      <u/>
      <sz val="18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4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6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b/>
      <u/>
      <sz val="18"/>
      <color rgb="FFFF0000"/>
      <name val="Arial"/>
      <family val="2"/>
      <scheme val="minor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u/>
      <sz val="18"/>
      <name val="Arial"/>
      <family val="2"/>
      <scheme val="minor"/>
    </font>
    <font>
      <b/>
      <sz val="20"/>
      <name val="Arial"/>
      <family val="2"/>
    </font>
    <font>
      <b/>
      <sz val="20"/>
      <color rgb="FFFF0000"/>
      <name val="Arial"/>
      <family val="2"/>
      <scheme val="minor"/>
    </font>
    <font>
      <b/>
      <sz val="36"/>
      <color theme="1"/>
      <name val="Arial"/>
      <family val="2"/>
      <scheme val="minor"/>
    </font>
    <font>
      <b/>
      <u/>
      <sz val="26"/>
      <color theme="1"/>
      <name val="Arial"/>
      <family val="2"/>
      <scheme val="minor"/>
    </font>
    <font>
      <b/>
      <sz val="24"/>
      <name val="Arial"/>
      <family val="2"/>
      <charset val="178"/>
      <scheme val="minor"/>
    </font>
    <font>
      <b/>
      <u/>
      <sz val="24"/>
      <name val="Calibri"/>
      <family val="2"/>
      <charset val="178"/>
    </font>
    <font>
      <b/>
      <u/>
      <sz val="24"/>
      <color rgb="FFFF0000"/>
      <name val="Arial"/>
      <family val="2"/>
    </font>
    <font>
      <b/>
      <u/>
      <sz val="24"/>
      <color rgb="FFFF0000"/>
      <name val="Calibri"/>
      <family val="2"/>
      <charset val="178"/>
    </font>
    <font>
      <b/>
      <u/>
      <sz val="24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darkTrellis">
        <bgColor rgb="FFFFFF66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lightGray"/>
    </fill>
    <fill>
      <patternFill patternType="solid">
        <fgColor rgb="FF99CCFF"/>
        <bgColor indexed="64"/>
      </patternFill>
    </fill>
    <fill>
      <patternFill patternType="darkTrellis"/>
    </fill>
    <fill>
      <patternFill patternType="solid">
        <fgColor theme="3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ECFF"/>
        <bgColor indexed="64"/>
      </patternFill>
    </fill>
    <fill>
      <patternFill patternType="darkTrellis">
        <bgColor rgb="FF99FF66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22">
    <xf numFmtId="0" fontId="0" fillId="0" borderId="0" xfId="0"/>
    <xf numFmtId="3" fontId="5" fillId="0" borderId="0" xfId="0" applyNumberFormat="1" applyFont="1"/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/>
    <xf numFmtId="3" fontId="5" fillId="0" borderId="19" xfId="0" applyNumberFormat="1" applyFont="1" applyBorder="1"/>
    <xf numFmtId="3" fontId="5" fillId="0" borderId="0" xfId="0" applyNumberFormat="1" applyFont="1" applyAlignment="1">
      <alignment vertical="center" wrapText="1"/>
    </xf>
    <xf numFmtId="3" fontId="5" fillId="0" borderId="13" xfId="0" applyNumberFormat="1" applyFont="1" applyBorder="1"/>
    <xf numFmtId="3" fontId="5" fillId="0" borderId="0" xfId="0" applyNumberFormat="1" applyFont="1" applyBorder="1"/>
    <xf numFmtId="164" fontId="5" fillId="0" borderId="0" xfId="0" applyNumberFormat="1" applyFont="1" applyBorder="1"/>
    <xf numFmtId="4" fontId="5" fillId="0" borderId="13" xfId="0" applyNumberFormat="1" applyFont="1" applyBorder="1"/>
    <xf numFmtId="3" fontId="5" fillId="0" borderId="13" xfId="0" applyNumberFormat="1" applyFont="1" applyBorder="1" applyAlignment="1">
      <alignment horizontal="left"/>
    </xf>
    <xf numFmtId="3" fontId="5" fillId="0" borderId="20" xfId="0" applyNumberFormat="1" applyFont="1" applyBorder="1"/>
    <xf numFmtId="3" fontId="5" fillId="0" borderId="11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24" xfId="0" applyNumberFormat="1" applyFont="1" applyBorder="1"/>
    <xf numFmtId="3" fontId="5" fillId="0" borderId="25" xfId="0" applyNumberFormat="1" applyFont="1" applyBorder="1"/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17" borderId="1" xfId="0" applyNumberFormat="1" applyFont="1" applyFill="1" applyBorder="1" applyAlignment="1">
      <alignment horizontal="center" vertical="center" wrapText="1"/>
    </xf>
    <xf numFmtId="3" fontId="5" fillId="17" borderId="1" xfId="0" applyNumberFormat="1" applyFont="1" applyFill="1" applyBorder="1" applyAlignment="1">
      <alignment horizontal="right"/>
    </xf>
    <xf numFmtId="3" fontId="11" fillId="17" borderId="1" xfId="0" applyNumberFormat="1" applyFont="1" applyFill="1" applyBorder="1" applyAlignment="1">
      <alignment horizontal="right"/>
    </xf>
    <xf numFmtId="3" fontId="9" fillId="17" borderId="1" xfId="0" applyNumberFormat="1" applyFont="1" applyFill="1" applyBorder="1" applyAlignment="1">
      <alignment horizontal="right"/>
    </xf>
    <xf numFmtId="3" fontId="6" fillId="17" borderId="5" xfId="0" applyNumberFormat="1" applyFont="1" applyFill="1" applyBorder="1" applyAlignment="1">
      <alignment horizontal="center"/>
    </xf>
    <xf numFmtId="3" fontId="6" fillId="17" borderId="6" xfId="0" applyNumberFormat="1" applyFont="1" applyFill="1" applyBorder="1" applyAlignment="1">
      <alignment horizontal="center"/>
    </xf>
    <xf numFmtId="3" fontId="4" fillId="17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0" fillId="13" borderId="13" xfId="0" applyNumberFormat="1" applyFont="1" applyFill="1" applyBorder="1" applyAlignment="1">
      <alignment horizontal="center" vertical="center"/>
    </xf>
    <xf numFmtId="3" fontId="10" fillId="9" borderId="13" xfId="0" applyNumberFormat="1" applyFont="1" applyFill="1" applyBorder="1" applyAlignment="1">
      <alignment horizontal="center" vertical="center"/>
    </xf>
    <xf numFmtId="3" fontId="13" fillId="9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/>
    <xf numFmtId="3" fontId="5" fillId="0" borderId="12" xfId="0" applyNumberFormat="1" applyFont="1" applyBorder="1" applyAlignment="1"/>
    <xf numFmtId="3" fontId="5" fillId="0" borderId="0" xfId="0" applyNumberFormat="1" applyFont="1" applyFill="1" applyAlignment="1">
      <alignment horizontal="center"/>
    </xf>
    <xf numFmtId="3" fontId="17" fillId="20" borderId="1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3" fillId="16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3" fontId="18" fillId="0" borderId="0" xfId="1" applyNumberFormat="1" applyFont="1" applyAlignment="1" applyProtection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13" fillId="6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/>
    </xf>
    <xf numFmtId="3" fontId="23" fillId="12" borderId="0" xfId="0" applyNumberFormat="1" applyFont="1" applyFill="1" applyBorder="1" applyAlignment="1">
      <alignment horizontal="center" wrapText="1"/>
    </xf>
    <xf numFmtId="3" fontId="21" fillId="12" borderId="0" xfId="0" applyNumberFormat="1" applyFont="1" applyFill="1" applyBorder="1" applyAlignment="1">
      <alignment horizontal="center"/>
    </xf>
    <xf numFmtId="3" fontId="21" fillId="12" borderId="0" xfId="0" applyNumberFormat="1" applyFont="1" applyFill="1" applyBorder="1" applyAlignment="1">
      <alignment horizontal="center" wrapText="1"/>
    </xf>
    <xf numFmtId="3" fontId="21" fillId="0" borderId="15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1" fillId="9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top"/>
    </xf>
    <xf numFmtId="3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vertical="center" readingOrder="2"/>
    </xf>
    <xf numFmtId="3" fontId="5" fillId="0" borderId="13" xfId="0" applyNumberFormat="1" applyFont="1" applyFill="1" applyBorder="1" applyAlignment="1">
      <alignment horizontal="center" readingOrder="2"/>
    </xf>
    <xf numFmtId="3" fontId="5" fillId="0" borderId="28" xfId="0" applyNumberFormat="1" applyFont="1" applyFill="1" applyBorder="1" applyAlignment="1">
      <alignment horizontal="center"/>
    </xf>
    <xf numFmtId="3" fontId="5" fillId="24" borderId="28" xfId="0" applyNumberFormat="1" applyFont="1" applyFill="1" applyBorder="1" applyAlignment="1">
      <alignment horizontal="center"/>
    </xf>
    <xf numFmtId="3" fontId="5" fillId="24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readingOrder="2"/>
    </xf>
    <xf numFmtId="3" fontId="3" fillId="25" borderId="29" xfId="0" applyNumberFormat="1" applyFont="1" applyFill="1" applyBorder="1" applyAlignment="1">
      <alignment horizontal="center" vertical="center" readingOrder="2"/>
    </xf>
    <xf numFmtId="3" fontId="2" fillId="25" borderId="11" xfId="0" applyNumberFormat="1" applyFont="1" applyFill="1" applyBorder="1" applyAlignment="1">
      <alignment horizontal="center" vertical="center" readingOrder="2"/>
    </xf>
    <xf numFmtId="3" fontId="2" fillId="25" borderId="21" xfId="0" applyNumberFormat="1" applyFont="1" applyFill="1" applyBorder="1" applyAlignment="1">
      <alignment horizontal="center" vertical="center" readingOrder="2"/>
    </xf>
    <xf numFmtId="3" fontId="4" fillId="25" borderId="13" xfId="0" applyNumberFormat="1" applyFont="1" applyFill="1" applyBorder="1" applyAlignment="1">
      <alignment horizontal="center" readingOrder="2"/>
    </xf>
    <xf numFmtId="3" fontId="2" fillId="25" borderId="13" xfId="0" applyNumberFormat="1" applyFont="1" applyFill="1" applyBorder="1" applyAlignment="1">
      <alignment horizontal="center"/>
    </xf>
    <xf numFmtId="3" fontId="5" fillId="21" borderId="13" xfId="0" applyNumberFormat="1" applyFont="1" applyFill="1" applyBorder="1" applyAlignment="1">
      <alignment horizontal="center"/>
    </xf>
    <xf numFmtId="3" fontId="2" fillId="25" borderId="13" xfId="0" applyNumberFormat="1" applyFont="1" applyFill="1" applyBorder="1" applyAlignment="1">
      <alignment horizontal="center" vertical="center" wrapText="1" readingOrder="2"/>
    </xf>
    <xf numFmtId="3" fontId="5" fillId="25" borderId="13" xfId="0" applyNumberFormat="1" applyFont="1" applyFill="1" applyBorder="1" applyAlignment="1">
      <alignment horizontal="center" readingOrder="2"/>
    </xf>
    <xf numFmtId="3" fontId="5" fillId="25" borderId="13" xfId="0" applyNumberFormat="1" applyFont="1" applyFill="1" applyBorder="1" applyAlignment="1">
      <alignment horizontal="center" vertical="center" readingOrder="2"/>
    </xf>
    <xf numFmtId="3" fontId="8" fillId="25" borderId="13" xfId="0" applyNumberFormat="1" applyFont="1" applyFill="1" applyBorder="1" applyAlignment="1">
      <alignment horizontal="center" readingOrder="2"/>
    </xf>
    <xf numFmtId="3" fontId="5" fillId="21" borderId="13" xfId="0" applyNumberFormat="1" applyFont="1" applyFill="1" applyBorder="1" applyAlignment="1">
      <alignment horizontal="center" readingOrder="2"/>
    </xf>
    <xf numFmtId="3" fontId="5" fillId="21" borderId="13" xfId="0" applyNumberFormat="1" applyFont="1" applyFill="1" applyBorder="1" applyAlignment="1">
      <alignment horizontal="center" vertical="center" readingOrder="2"/>
    </xf>
    <xf numFmtId="3" fontId="5" fillId="0" borderId="44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 vertical="center" readingOrder="2"/>
    </xf>
    <xf numFmtId="3" fontId="5" fillId="0" borderId="46" xfId="0" applyNumberFormat="1" applyFont="1" applyFill="1" applyBorder="1" applyAlignment="1">
      <alignment horizontal="center" vertical="center" readingOrder="2"/>
    </xf>
    <xf numFmtId="3" fontId="5" fillId="0" borderId="47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readingOrder="2"/>
    </xf>
    <xf numFmtId="3" fontId="5" fillId="0" borderId="48" xfId="0" applyNumberFormat="1" applyFont="1" applyFill="1" applyBorder="1" applyAlignment="1">
      <alignment horizontal="center" readingOrder="2"/>
    </xf>
    <xf numFmtId="3" fontId="5" fillId="25" borderId="47" xfId="0" applyNumberFormat="1" applyFont="1" applyFill="1" applyBorder="1" applyAlignment="1">
      <alignment horizontal="center"/>
    </xf>
    <xf numFmtId="3" fontId="5" fillId="25" borderId="1" xfId="0" applyNumberFormat="1" applyFont="1" applyFill="1" applyBorder="1" applyAlignment="1">
      <alignment horizontal="center" readingOrder="2"/>
    </xf>
    <xf numFmtId="3" fontId="5" fillId="25" borderId="48" xfId="0" applyNumberFormat="1" applyFont="1" applyFill="1" applyBorder="1" applyAlignment="1">
      <alignment horizontal="center" readingOrder="2"/>
    </xf>
    <xf numFmtId="3" fontId="8" fillId="0" borderId="1" xfId="0" applyNumberFormat="1" applyFont="1" applyFill="1" applyBorder="1" applyAlignment="1">
      <alignment horizontal="center" readingOrder="2"/>
    </xf>
    <xf numFmtId="3" fontId="8" fillId="0" borderId="48" xfId="0" applyNumberFormat="1" applyFont="1" applyFill="1" applyBorder="1" applyAlignment="1">
      <alignment horizontal="center" readingOrder="2"/>
    </xf>
    <xf numFmtId="3" fontId="8" fillId="25" borderId="1" xfId="0" applyNumberFormat="1" applyFont="1" applyFill="1" applyBorder="1" applyAlignment="1">
      <alignment horizontal="center" readingOrder="2"/>
    </xf>
    <xf numFmtId="3" fontId="8" fillId="25" borderId="48" xfId="0" applyNumberFormat="1" applyFont="1" applyFill="1" applyBorder="1" applyAlignment="1">
      <alignment horizontal="center" readingOrder="2"/>
    </xf>
    <xf numFmtId="3" fontId="5" fillId="21" borderId="49" xfId="0" applyNumberFormat="1" applyFont="1" applyFill="1" applyBorder="1" applyAlignment="1">
      <alignment horizontal="center"/>
    </xf>
    <xf numFmtId="3" fontId="5" fillId="21" borderId="42" xfId="0" applyNumberFormat="1" applyFont="1" applyFill="1" applyBorder="1" applyAlignment="1">
      <alignment horizontal="center" readingOrder="2"/>
    </xf>
    <xf numFmtId="3" fontId="5" fillId="21" borderId="50" xfId="0" applyNumberFormat="1" applyFont="1" applyFill="1" applyBorder="1" applyAlignment="1">
      <alignment horizontal="center" readingOrder="2"/>
    </xf>
    <xf numFmtId="3" fontId="5" fillId="0" borderId="2" xfId="0" applyNumberFormat="1" applyFont="1" applyFill="1" applyBorder="1" applyAlignment="1">
      <alignment horizontal="center" readingOrder="2"/>
    </xf>
    <xf numFmtId="3" fontId="5" fillId="25" borderId="7" xfId="0" applyNumberFormat="1" applyFont="1" applyFill="1" applyBorder="1" applyAlignment="1">
      <alignment horizontal="center"/>
    </xf>
    <xf numFmtId="3" fontId="5" fillId="25" borderId="51" xfId="0" applyNumberFormat="1" applyFont="1" applyFill="1" applyBorder="1" applyAlignment="1">
      <alignment horizontal="center" readingOrder="2"/>
    </xf>
    <xf numFmtId="3" fontId="5" fillId="25" borderId="44" xfId="0" applyNumberFormat="1" applyFont="1" applyFill="1" applyBorder="1" applyAlignment="1">
      <alignment horizontal="center"/>
    </xf>
    <xf numFmtId="3" fontId="8" fillId="25" borderId="45" xfId="0" applyNumberFormat="1" applyFont="1" applyFill="1" applyBorder="1" applyAlignment="1">
      <alignment horizontal="center" readingOrder="2"/>
    </xf>
    <xf numFmtId="3" fontId="8" fillId="25" borderId="46" xfId="0" applyNumberFormat="1" applyFont="1" applyFill="1" applyBorder="1" applyAlignment="1">
      <alignment horizontal="center" readingOrder="2"/>
    </xf>
    <xf numFmtId="3" fontId="5" fillId="21" borderId="47" xfId="0" applyNumberFormat="1" applyFont="1" applyFill="1" applyBorder="1" applyAlignment="1">
      <alignment horizontal="center"/>
    </xf>
    <xf numFmtId="3" fontId="5" fillId="21" borderId="1" xfId="0" applyNumberFormat="1" applyFont="1" applyFill="1" applyBorder="1" applyAlignment="1">
      <alignment horizontal="center" readingOrder="2"/>
    </xf>
    <xf numFmtId="3" fontId="5" fillId="21" borderId="48" xfId="0" applyNumberFormat="1" applyFont="1" applyFill="1" applyBorder="1" applyAlignment="1">
      <alignment horizontal="center" readingOrder="2"/>
    </xf>
    <xf numFmtId="3" fontId="5" fillId="27" borderId="47" xfId="0" applyNumberFormat="1" applyFont="1" applyFill="1" applyBorder="1" applyAlignment="1">
      <alignment horizontal="center"/>
    </xf>
    <xf numFmtId="3" fontId="5" fillId="27" borderId="45" xfId="0" applyNumberFormat="1" applyFont="1" applyFill="1" applyBorder="1" applyAlignment="1">
      <alignment horizontal="center" readingOrder="2"/>
    </xf>
    <xf numFmtId="3" fontId="5" fillId="27" borderId="46" xfId="0" applyNumberFormat="1" applyFont="1" applyFill="1" applyBorder="1" applyAlignment="1">
      <alignment horizontal="center" readingOrder="2"/>
    </xf>
    <xf numFmtId="3" fontId="5" fillId="27" borderId="49" xfId="0" applyNumberFormat="1" applyFont="1" applyFill="1" applyBorder="1" applyAlignment="1">
      <alignment horizontal="center"/>
    </xf>
    <xf numFmtId="3" fontId="5" fillId="27" borderId="42" xfId="0" applyNumberFormat="1" applyFont="1" applyFill="1" applyBorder="1" applyAlignment="1">
      <alignment horizontal="center" readingOrder="2"/>
    </xf>
    <xf numFmtId="3" fontId="5" fillId="27" borderId="50" xfId="0" applyNumberFormat="1" applyFont="1" applyFill="1" applyBorder="1" applyAlignment="1">
      <alignment horizontal="center" readingOrder="2"/>
    </xf>
    <xf numFmtId="3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center"/>
    </xf>
    <xf numFmtId="3" fontId="4" fillId="23" borderId="13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center"/>
    </xf>
    <xf numFmtId="3" fontId="9" fillId="17" borderId="6" xfId="0" applyNumberFormat="1" applyFont="1" applyFill="1" applyBorder="1" applyAlignment="1">
      <alignment horizontal="center" vertical="center"/>
    </xf>
    <xf numFmtId="3" fontId="9" fillId="17" borderId="1" xfId="0" applyNumberFormat="1" applyFont="1" applyFill="1" applyBorder="1" applyAlignment="1">
      <alignment horizontal="center"/>
    </xf>
    <xf numFmtId="3" fontId="9" fillId="16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21" borderId="1" xfId="0" applyNumberFormat="1" applyFont="1" applyFill="1" applyBorder="1" applyAlignment="1">
      <alignment horizontal="center" vertical="center"/>
    </xf>
    <xf numFmtId="3" fontId="10" fillId="9" borderId="1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9" borderId="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23" borderId="1" xfId="0" applyNumberFormat="1" applyFont="1" applyFill="1" applyBorder="1" applyAlignment="1">
      <alignment horizontal="center"/>
    </xf>
    <xf numFmtId="3" fontId="4" fillId="23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9" borderId="29" xfId="0" applyNumberFormat="1" applyFont="1" applyFill="1" applyBorder="1" applyAlignment="1">
      <alignment horizontal="center" vertical="center"/>
    </xf>
    <xf numFmtId="3" fontId="4" fillId="9" borderId="34" xfId="0" applyNumberFormat="1" applyFont="1" applyFill="1" applyBorder="1" applyAlignment="1">
      <alignment horizontal="center" vertical="center"/>
    </xf>
    <xf numFmtId="3" fontId="4" fillId="9" borderId="16" xfId="0" applyNumberFormat="1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13" borderId="29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4" fillId="13" borderId="13" xfId="0" applyNumberFormat="1" applyFont="1" applyFill="1" applyBorder="1" applyAlignment="1">
      <alignment horizontal="center" vertical="center"/>
    </xf>
    <xf numFmtId="3" fontId="4" fillId="22" borderId="13" xfId="0" applyNumberFormat="1" applyFont="1" applyFill="1" applyBorder="1" applyAlignment="1">
      <alignment horizontal="center" vertical="center"/>
    </xf>
    <xf numFmtId="3" fontId="4" fillId="22" borderId="28" xfId="0" applyNumberFormat="1" applyFont="1" applyFill="1" applyBorder="1" applyAlignment="1">
      <alignment horizontal="center" vertical="center"/>
    </xf>
    <xf numFmtId="3" fontId="4" fillId="22" borderId="2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9" borderId="32" xfId="0" applyNumberFormat="1" applyFont="1" applyFill="1" applyBorder="1" applyAlignment="1">
      <alignment horizontal="center" vertical="center"/>
    </xf>
    <xf numFmtId="3" fontId="4" fillId="9" borderId="3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25" fillId="0" borderId="42" xfId="0" applyNumberFormat="1" applyFont="1" applyBorder="1" applyAlignment="1">
      <alignment horizontal="center" vertical="center"/>
    </xf>
    <xf numFmtId="3" fontId="25" fillId="0" borderId="35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4" fillId="21" borderId="13" xfId="0" applyNumberFormat="1" applyFont="1" applyFill="1" applyBorder="1" applyAlignment="1">
      <alignment horizontal="center" vertical="center"/>
    </xf>
    <xf numFmtId="3" fontId="4" fillId="21" borderId="7" xfId="0" applyNumberFormat="1" applyFont="1" applyFill="1" applyBorder="1" applyAlignment="1">
      <alignment horizontal="center" vertical="center"/>
    </xf>
    <xf numFmtId="3" fontId="4" fillId="21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9" borderId="1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/>
    </xf>
    <xf numFmtId="3" fontId="16" fillId="9" borderId="1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3" fontId="4" fillId="21" borderId="30" xfId="0" applyNumberFormat="1" applyFont="1" applyFill="1" applyBorder="1" applyAlignment="1">
      <alignment horizontal="center" vertical="center"/>
    </xf>
    <xf numFmtId="3" fontId="4" fillId="16" borderId="0" xfId="0" applyNumberFormat="1" applyFont="1" applyFill="1" applyBorder="1" applyAlignment="1">
      <alignment horizontal="right" vertical="center"/>
    </xf>
    <xf numFmtId="3" fontId="4" fillId="16" borderId="14" xfId="0" applyNumberFormat="1" applyFont="1" applyFill="1" applyBorder="1" applyAlignment="1">
      <alignment horizontal="right" vertical="center"/>
    </xf>
    <xf numFmtId="3" fontId="4" fillId="16" borderId="15" xfId="0" applyNumberFormat="1" applyFont="1" applyFill="1" applyBorder="1" applyAlignment="1">
      <alignment horizontal="right" vertical="center"/>
    </xf>
    <xf numFmtId="3" fontId="4" fillId="9" borderId="30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4" fillId="30" borderId="30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7" xfId="0" applyNumberFormat="1" applyFont="1" applyFill="1" applyBorder="1" applyAlignment="1">
      <alignment horizontal="center" vertical="center"/>
    </xf>
    <xf numFmtId="3" fontId="4" fillId="30" borderId="1" xfId="0" applyNumberFormat="1" applyFont="1" applyFill="1" applyBorder="1" applyAlignment="1">
      <alignment horizontal="center" vertical="center"/>
    </xf>
    <xf numFmtId="3" fontId="4" fillId="30" borderId="1" xfId="0" applyNumberFormat="1" applyFont="1" applyFill="1" applyBorder="1" applyAlignment="1">
      <alignment horizontal="right" vertical="center"/>
    </xf>
    <xf numFmtId="3" fontId="4" fillId="30" borderId="1" xfId="0" applyNumberFormat="1" applyFont="1" applyFill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3" fontId="27" fillId="28" borderId="1" xfId="0" applyNumberFormat="1" applyFont="1" applyFill="1" applyBorder="1" applyAlignment="1">
      <alignment horizontal="center" vertical="center"/>
    </xf>
    <xf numFmtId="3" fontId="27" fillId="9" borderId="1" xfId="0" applyNumberFormat="1" applyFont="1" applyFill="1" applyBorder="1" applyAlignment="1">
      <alignment horizontal="center" vertical="center"/>
    </xf>
    <xf numFmtId="3" fontId="27" fillId="8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5" borderId="1" xfId="0" applyNumberFormat="1" applyFont="1" applyFill="1" applyBorder="1" applyAlignment="1">
      <alignment horizontal="center" vertical="center"/>
    </xf>
    <xf numFmtId="3" fontId="27" fillId="21" borderId="1" xfId="0" applyNumberFormat="1" applyFont="1" applyFill="1" applyBorder="1" applyAlignment="1">
      <alignment horizontal="center" vertical="center"/>
    </xf>
    <xf numFmtId="3" fontId="27" fillId="7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9" borderId="2" xfId="0" applyNumberFormat="1" applyFont="1" applyFill="1" applyBorder="1" applyAlignment="1">
      <alignment horizontal="center" vertical="center"/>
    </xf>
    <xf numFmtId="3" fontId="27" fillId="8" borderId="2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7" fillId="7" borderId="2" xfId="0" applyNumberFormat="1" applyFont="1" applyFill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28" borderId="4" xfId="0" applyNumberFormat="1" applyFont="1" applyFill="1" applyBorder="1" applyAlignment="1">
      <alignment horizontal="center" vertical="center"/>
    </xf>
    <xf numFmtId="3" fontId="27" fillId="9" borderId="4" xfId="0" applyNumberFormat="1" applyFont="1" applyFill="1" applyBorder="1" applyAlignment="1">
      <alignment horizontal="center" vertical="center"/>
    </xf>
    <xf numFmtId="3" fontId="27" fillId="8" borderId="4" xfId="0" applyNumberFormat="1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3" fontId="27" fillId="7" borderId="4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 wrapText="1"/>
    </xf>
    <xf numFmtId="3" fontId="28" fillId="0" borderId="29" xfId="0" applyNumberFormat="1" applyFont="1" applyFill="1" applyBorder="1" applyAlignment="1">
      <alignment horizontal="center" vertical="center"/>
    </xf>
    <xf numFmtId="3" fontId="28" fillId="10" borderId="29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10" borderId="30" xfId="0" applyNumberFormat="1" applyFont="1" applyFill="1" applyBorder="1" applyAlignment="1">
      <alignment horizontal="center" vertical="center"/>
    </xf>
    <xf numFmtId="3" fontId="28" fillId="10" borderId="13" xfId="0" applyNumberFormat="1" applyFont="1" applyFill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3" fontId="28" fillId="9" borderId="29" xfId="0" applyNumberFormat="1" applyFont="1" applyFill="1" applyBorder="1" applyAlignment="1">
      <alignment horizontal="center" vertical="center"/>
    </xf>
    <xf numFmtId="3" fontId="28" fillId="9" borderId="13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8" fillId="9" borderId="27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3" fontId="28" fillId="26" borderId="13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3" fontId="28" fillId="11" borderId="13" xfId="0" applyNumberFormat="1" applyFont="1" applyFill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/>
    </xf>
    <xf numFmtId="3" fontId="28" fillId="26" borderId="26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9" borderId="30" xfId="0" applyNumberFormat="1" applyFont="1" applyFill="1" applyBorder="1" applyAlignment="1">
      <alignment horizontal="center" vertical="center"/>
    </xf>
    <xf numFmtId="3" fontId="28" fillId="9" borderId="37" xfId="0" applyNumberFormat="1" applyFont="1" applyFill="1" applyBorder="1" applyAlignment="1">
      <alignment horizontal="center" vertical="center"/>
    </xf>
    <xf numFmtId="3" fontId="28" fillId="29" borderId="27" xfId="0" applyNumberFormat="1" applyFont="1" applyFill="1" applyBorder="1" applyAlignment="1">
      <alignment horizontal="center" vertical="center"/>
    </xf>
    <xf numFmtId="3" fontId="28" fillId="26" borderId="27" xfId="0" applyNumberFormat="1" applyFont="1" applyFill="1" applyBorder="1" applyAlignment="1">
      <alignment horizontal="center" vertical="center"/>
    </xf>
    <xf numFmtId="3" fontId="28" fillId="0" borderId="40" xfId="0" applyNumberFormat="1" applyFont="1" applyFill="1" applyBorder="1" applyAlignment="1">
      <alignment horizontal="center" vertical="center"/>
    </xf>
    <xf numFmtId="3" fontId="28" fillId="18" borderId="1" xfId="0" applyNumberFormat="1" applyFont="1" applyFill="1" applyBorder="1" applyAlignment="1">
      <alignment horizontal="center" vertical="center"/>
    </xf>
    <xf numFmtId="3" fontId="28" fillId="29" borderId="13" xfId="0" applyNumberFormat="1" applyFont="1" applyFill="1" applyBorder="1" applyAlignment="1">
      <alignment horizontal="center" vertical="center"/>
    </xf>
    <xf numFmtId="3" fontId="28" fillId="9" borderId="38" xfId="0" applyNumberFormat="1" applyFont="1" applyFill="1" applyBorder="1" applyAlignment="1">
      <alignment horizontal="center" vertical="center" wrapText="1"/>
    </xf>
    <xf numFmtId="3" fontId="28" fillId="26" borderId="32" xfId="0" applyNumberFormat="1" applyFont="1" applyFill="1" applyBorder="1" applyAlignment="1">
      <alignment horizontal="center" vertical="center"/>
    </xf>
    <xf numFmtId="3" fontId="28" fillId="0" borderId="41" xfId="0" applyNumberFormat="1" applyFont="1" applyFill="1" applyBorder="1" applyAlignment="1">
      <alignment horizontal="center" vertical="center"/>
    </xf>
    <xf numFmtId="3" fontId="28" fillId="23" borderId="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3" fillId="14" borderId="1" xfId="0" applyNumberFormat="1" applyFont="1" applyFill="1" applyBorder="1" applyAlignment="1">
      <alignment horizontal="center" vertical="center"/>
    </xf>
    <xf numFmtId="3" fontId="11" fillId="14" borderId="1" xfId="0" applyNumberFormat="1" applyFont="1" applyFill="1" applyBorder="1" applyAlignment="1">
      <alignment horizontal="center" vertical="center"/>
    </xf>
    <xf numFmtId="3" fontId="11" fillId="14" borderId="1" xfId="0" applyNumberFormat="1" applyFont="1" applyFill="1" applyBorder="1" applyAlignment="1">
      <alignment horizontal="right" vertical="center"/>
    </xf>
    <xf numFmtId="3" fontId="15" fillId="14" borderId="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center"/>
    </xf>
    <xf numFmtId="3" fontId="4" fillId="4" borderId="55" xfId="0" applyNumberFormat="1" applyFont="1" applyFill="1" applyBorder="1" applyAlignment="1">
      <alignment horizontal="center"/>
    </xf>
    <xf numFmtId="3" fontId="4" fillId="31" borderId="54" xfId="0" applyNumberFormat="1" applyFont="1" applyFill="1" applyBorder="1" applyAlignment="1">
      <alignment horizontal="center"/>
    </xf>
    <xf numFmtId="4" fontId="4" fillId="31" borderId="54" xfId="0" applyNumberFormat="1" applyFont="1" applyFill="1" applyBorder="1" applyAlignment="1">
      <alignment horizontal="center"/>
    </xf>
    <xf numFmtId="3" fontId="27" fillId="31" borderId="1" xfId="0" applyNumberFormat="1" applyFont="1" applyFill="1" applyBorder="1" applyAlignment="1">
      <alignment horizontal="center" vertical="center"/>
    </xf>
    <xf numFmtId="3" fontId="27" fillId="7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 wrapText="1"/>
    </xf>
    <xf numFmtId="3" fontId="5" fillId="14" borderId="1" xfId="0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0" fontId="4" fillId="21" borderId="32" xfId="0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30" fillId="0" borderId="14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top"/>
    </xf>
    <xf numFmtId="1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top"/>
    </xf>
    <xf numFmtId="3" fontId="31" fillId="0" borderId="13" xfId="0" applyNumberFormat="1" applyFont="1" applyBorder="1"/>
    <xf numFmtId="3" fontId="5" fillId="0" borderId="10" xfId="0" applyNumberFormat="1" applyFont="1" applyFill="1" applyBorder="1" applyAlignment="1">
      <alignment horizontal="center" wrapText="1"/>
    </xf>
    <xf numFmtId="3" fontId="4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3" fontId="9" fillId="21" borderId="1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3" fontId="13" fillId="4" borderId="13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 wrapText="1"/>
    </xf>
    <xf numFmtId="3" fontId="34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21" fillId="21" borderId="23" xfId="0" applyNumberFormat="1" applyFont="1" applyFill="1" applyBorder="1" applyAlignment="1">
      <alignment horizontal="center"/>
    </xf>
    <xf numFmtId="3" fontId="21" fillId="21" borderId="25" xfId="0" applyNumberFormat="1" applyFont="1" applyFill="1" applyBorder="1" applyAlignment="1">
      <alignment horizontal="center"/>
    </xf>
    <xf numFmtId="3" fontId="21" fillId="21" borderId="0" xfId="0" applyNumberFormat="1" applyFont="1" applyFill="1" applyBorder="1" applyAlignment="1">
      <alignment horizontal="center"/>
    </xf>
    <xf numFmtId="3" fontId="23" fillId="21" borderId="0" xfId="0" applyNumberFormat="1" applyFont="1" applyFill="1" applyBorder="1" applyAlignment="1"/>
    <xf numFmtId="3" fontId="21" fillId="21" borderId="0" xfId="0" applyNumberFormat="1" applyFont="1" applyFill="1" applyBorder="1" applyAlignment="1"/>
    <xf numFmtId="3" fontId="21" fillId="21" borderId="10" xfId="0" applyNumberFormat="1" applyFont="1" applyFill="1" applyBorder="1" applyAlignment="1">
      <alignment horizontal="center" wrapText="1"/>
    </xf>
    <xf numFmtId="3" fontId="21" fillId="21" borderId="14" xfId="0" applyNumberFormat="1" applyFont="1" applyFill="1" applyBorder="1" applyAlignment="1">
      <alignment horizontal="center"/>
    </xf>
    <xf numFmtId="3" fontId="21" fillId="21" borderId="10" xfId="0" applyNumberFormat="1" applyFont="1" applyFill="1" applyBorder="1" applyAlignment="1">
      <alignment horizontal="center"/>
    </xf>
    <xf numFmtId="3" fontId="21" fillId="21" borderId="0" xfId="0" applyNumberFormat="1" applyFont="1" applyFill="1" applyBorder="1" applyAlignment="1">
      <alignment horizontal="center" wrapText="1"/>
    </xf>
    <xf numFmtId="165" fontId="21" fillId="21" borderId="14" xfId="0" applyNumberFormat="1" applyFont="1" applyFill="1" applyBorder="1" applyAlignment="1">
      <alignment horizontal="center"/>
    </xf>
    <xf numFmtId="3" fontId="35" fillId="21" borderId="0" xfId="1" applyNumberFormat="1" applyFont="1" applyFill="1" applyBorder="1" applyAlignment="1" applyProtection="1">
      <alignment horizontal="center"/>
    </xf>
    <xf numFmtId="3" fontId="21" fillId="21" borderId="0" xfId="0" applyNumberFormat="1" applyFont="1" applyFill="1" applyBorder="1" applyAlignment="1">
      <alignment horizontal="center" vertical="center"/>
    </xf>
    <xf numFmtId="3" fontId="36" fillId="21" borderId="0" xfId="0" applyNumberFormat="1" applyFont="1" applyFill="1" applyBorder="1" applyAlignment="1">
      <alignment horizontal="center" wrapText="1"/>
    </xf>
    <xf numFmtId="3" fontId="23" fillId="21" borderId="0" xfId="0" applyNumberFormat="1" applyFont="1" applyFill="1" applyBorder="1" applyAlignment="1">
      <alignment horizontal="center" wrapText="1"/>
    </xf>
    <xf numFmtId="3" fontId="37" fillId="21" borderId="0" xfId="1" applyNumberFormat="1" applyFont="1" applyFill="1" applyBorder="1" applyAlignment="1" applyProtection="1">
      <alignment horizontal="center"/>
    </xf>
    <xf numFmtId="3" fontId="23" fillId="21" borderId="0" xfId="0" applyNumberFormat="1" applyFont="1" applyFill="1" applyBorder="1" applyAlignment="1">
      <alignment horizontal="right" wrapText="1"/>
    </xf>
    <xf numFmtId="3" fontId="36" fillId="21" borderId="0" xfId="0" applyNumberFormat="1" applyFont="1" applyFill="1" applyBorder="1" applyAlignment="1">
      <alignment horizontal="right" wrapText="1"/>
    </xf>
    <xf numFmtId="3" fontId="22" fillId="21" borderId="0" xfId="0" applyNumberFormat="1" applyFont="1" applyFill="1" applyBorder="1" applyAlignment="1">
      <alignment horizontal="center" wrapText="1"/>
    </xf>
    <xf numFmtId="3" fontId="21" fillId="21" borderId="0" xfId="0" applyNumberFormat="1" applyFont="1" applyFill="1" applyAlignment="1">
      <alignment horizontal="center"/>
    </xf>
    <xf numFmtId="3" fontId="35" fillId="21" borderId="0" xfId="1" applyNumberFormat="1" applyFont="1" applyFill="1" applyBorder="1" applyAlignment="1" applyProtection="1">
      <alignment horizontal="right"/>
    </xf>
    <xf numFmtId="3" fontId="38" fillId="21" borderId="0" xfId="0" applyNumberFormat="1" applyFont="1" applyFill="1" applyBorder="1" applyAlignment="1">
      <alignment horizontal="right"/>
    </xf>
    <xf numFmtId="3" fontId="23" fillId="21" borderId="0" xfId="0" applyNumberFormat="1" applyFont="1" applyFill="1" applyBorder="1" applyAlignment="1">
      <alignment horizontal="right"/>
    </xf>
    <xf numFmtId="3" fontId="22" fillId="21" borderId="0" xfId="0" applyNumberFormat="1" applyFont="1" applyFill="1" applyBorder="1" applyAlignment="1">
      <alignment horizontal="center"/>
    </xf>
    <xf numFmtId="3" fontId="36" fillId="21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Border="1" applyAlignment="1">
      <alignment horizontal="center"/>
    </xf>
    <xf numFmtId="3" fontId="34" fillId="21" borderId="10" xfId="0" applyNumberFormat="1" applyFont="1" applyFill="1" applyBorder="1" applyAlignment="1">
      <alignment horizontal="center"/>
    </xf>
    <xf numFmtId="3" fontId="21" fillId="21" borderId="6" xfId="0" applyNumberFormat="1" applyFont="1" applyFill="1" applyBorder="1" applyAlignment="1">
      <alignment horizontal="center"/>
    </xf>
    <xf numFmtId="3" fontId="21" fillId="21" borderId="15" xfId="0" applyNumberFormat="1" applyFont="1" applyFill="1" applyBorder="1" applyAlignment="1">
      <alignment horizontal="center"/>
    </xf>
    <xf numFmtId="3" fontId="21" fillId="21" borderId="19" xfId="0" applyNumberFormat="1" applyFont="1" applyFill="1" applyBorder="1" applyAlignment="1">
      <alignment horizontal="center"/>
    </xf>
    <xf numFmtId="3" fontId="21" fillId="21" borderId="22" xfId="0" applyNumberFormat="1" applyFont="1" applyFill="1" applyBorder="1" applyAlignment="1">
      <alignment horizontal="center"/>
    </xf>
    <xf numFmtId="3" fontId="21" fillId="21" borderId="24" xfId="0" applyNumberFormat="1" applyFont="1" applyFill="1" applyBorder="1" applyAlignment="1">
      <alignment horizontal="center"/>
    </xf>
    <xf numFmtId="3" fontId="21" fillId="34" borderId="0" xfId="0" applyNumberFormat="1" applyFont="1" applyFill="1" applyBorder="1" applyAlignment="1">
      <alignment horizontal="center"/>
    </xf>
    <xf numFmtId="3" fontId="4" fillId="31" borderId="54" xfId="0" applyNumberFormat="1" applyFont="1" applyFill="1" applyBorder="1" applyAlignment="1">
      <alignment horizontal="center"/>
    </xf>
    <xf numFmtId="4" fontId="4" fillId="31" borderId="6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4" borderId="66" xfId="0" applyNumberFormat="1" applyFont="1" applyFill="1" applyBorder="1" applyAlignment="1">
      <alignment horizontal="center"/>
    </xf>
    <xf numFmtId="3" fontId="4" fillId="0" borderId="67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3" fontId="4" fillId="4" borderId="6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/>
    <xf numFmtId="3" fontId="0" fillId="0" borderId="69" xfId="0" applyNumberFormat="1" applyBorder="1"/>
    <xf numFmtId="3" fontId="1" fillId="3" borderId="69" xfId="0" applyNumberFormat="1" applyFont="1" applyFill="1" applyBorder="1" applyAlignment="1">
      <alignment horizontal="center"/>
    </xf>
    <xf numFmtId="3" fontId="0" fillId="0" borderId="69" xfId="0" applyNumberFormat="1" applyFill="1" applyBorder="1"/>
    <xf numFmtId="3" fontId="0" fillId="3" borderId="69" xfId="0" applyNumberFormat="1" applyFill="1" applyBorder="1"/>
    <xf numFmtId="4" fontId="0" fillId="0" borderId="69" xfId="0" applyNumberFormat="1" applyBorder="1"/>
    <xf numFmtId="3" fontId="39" fillId="3" borderId="69" xfId="0" applyNumberFormat="1" applyFont="1" applyFill="1" applyBorder="1"/>
    <xf numFmtId="3" fontId="3" fillId="0" borderId="3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16" borderId="58" xfId="0" applyNumberFormat="1" applyFont="1" applyFill="1" applyBorder="1" applyAlignment="1">
      <alignment horizontal="center" vertical="center"/>
    </xf>
    <xf numFmtId="3" fontId="4" fillId="16" borderId="59" xfId="0" applyNumberFormat="1" applyFont="1" applyFill="1" applyBorder="1" applyAlignment="1">
      <alignment horizontal="center" vertical="center"/>
    </xf>
    <xf numFmtId="3" fontId="4" fillId="16" borderId="60" xfId="0" applyNumberFormat="1" applyFont="1" applyFill="1" applyBorder="1" applyAlignment="1">
      <alignment horizontal="center" vertical="center"/>
    </xf>
    <xf numFmtId="3" fontId="4" fillId="16" borderId="61" xfId="0" applyNumberFormat="1" applyFont="1" applyFill="1" applyBorder="1" applyAlignment="1">
      <alignment horizontal="center" vertical="center"/>
    </xf>
    <xf numFmtId="3" fontId="4" fillId="16" borderId="62" xfId="0" applyNumberFormat="1" applyFont="1" applyFill="1" applyBorder="1" applyAlignment="1">
      <alignment horizontal="center" vertical="center"/>
    </xf>
    <xf numFmtId="3" fontId="4" fillId="16" borderId="63" xfId="0" applyNumberFormat="1" applyFont="1" applyFill="1" applyBorder="1" applyAlignment="1">
      <alignment horizontal="center" vertical="center"/>
    </xf>
    <xf numFmtId="3" fontId="29" fillId="31" borderId="0" xfId="0" applyNumberFormat="1" applyFont="1" applyFill="1" applyAlignment="1">
      <alignment horizontal="center" vertical="center"/>
    </xf>
    <xf numFmtId="3" fontId="27" fillId="28" borderId="5" xfId="0" applyNumberFormat="1" applyFont="1" applyFill="1" applyBorder="1" applyAlignment="1">
      <alignment horizontal="center" vertical="center"/>
    </xf>
    <xf numFmtId="3" fontId="27" fillId="28" borderId="6" xfId="0" applyNumberFormat="1" applyFont="1" applyFill="1" applyBorder="1" applyAlignment="1">
      <alignment horizontal="center" vertical="center"/>
    </xf>
    <xf numFmtId="3" fontId="27" fillId="28" borderId="7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7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5" borderId="5" xfId="0" applyNumberFormat="1" applyFont="1" applyFill="1" applyBorder="1" applyAlignment="1">
      <alignment horizontal="center" vertical="center"/>
    </xf>
    <xf numFmtId="3" fontId="27" fillId="5" borderId="6" xfId="0" applyNumberFormat="1" applyFont="1" applyFill="1" applyBorder="1" applyAlignment="1">
      <alignment horizontal="center" vertical="center"/>
    </xf>
    <xf numFmtId="3" fontId="27" fillId="5" borderId="7" xfId="0" applyNumberFormat="1" applyFont="1" applyFill="1" applyBorder="1" applyAlignment="1">
      <alignment horizontal="center" vertical="center"/>
    </xf>
    <xf numFmtId="3" fontId="27" fillId="8" borderId="5" xfId="0" applyNumberFormat="1" applyFont="1" applyFill="1" applyBorder="1" applyAlignment="1">
      <alignment horizontal="center" vertical="center"/>
    </xf>
    <xf numFmtId="3" fontId="27" fillId="8" borderId="6" xfId="0" applyNumberFormat="1" applyFont="1" applyFill="1" applyBorder="1" applyAlignment="1">
      <alignment horizontal="center" vertical="center"/>
    </xf>
    <xf numFmtId="3" fontId="27" fillId="8" borderId="7" xfId="0" applyNumberFormat="1" applyFont="1" applyFill="1" applyBorder="1" applyAlignment="1">
      <alignment horizontal="center" vertical="center"/>
    </xf>
    <xf numFmtId="3" fontId="27" fillId="9" borderId="5" xfId="0" applyNumberFormat="1" applyFont="1" applyFill="1" applyBorder="1" applyAlignment="1">
      <alignment horizontal="center" vertical="center"/>
    </xf>
    <xf numFmtId="3" fontId="27" fillId="9" borderId="6" xfId="0" applyNumberFormat="1" applyFont="1" applyFill="1" applyBorder="1" applyAlignment="1">
      <alignment horizontal="center" vertical="center"/>
    </xf>
    <xf numFmtId="3" fontId="27" fillId="9" borderId="7" xfId="0" applyNumberFormat="1" applyFont="1" applyFill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8" fillId="9" borderId="26" xfId="0" applyNumberFormat="1" applyFont="1" applyFill="1" applyBorder="1" applyAlignment="1">
      <alignment horizontal="center" vertical="center"/>
    </xf>
    <xf numFmtId="3" fontId="28" fillId="9" borderId="43" xfId="0" applyNumberFormat="1" applyFont="1" applyFill="1" applyBorder="1" applyAlignment="1">
      <alignment horizontal="center" vertical="center"/>
    </xf>
    <xf numFmtId="3" fontId="28" fillId="9" borderId="27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3" fontId="28" fillId="9" borderId="29" xfId="0" applyNumberFormat="1" applyFont="1" applyFill="1" applyBorder="1" applyAlignment="1">
      <alignment horizontal="center" vertical="center"/>
    </xf>
    <xf numFmtId="3" fontId="28" fillId="9" borderId="13" xfId="0" applyNumberFormat="1" applyFont="1" applyFill="1" applyBorder="1" applyAlignment="1">
      <alignment horizontal="center" vertical="center"/>
    </xf>
    <xf numFmtId="3" fontId="28" fillId="9" borderId="27" xfId="0" applyNumberFormat="1" applyFont="1" applyFill="1" applyBorder="1" applyAlignment="1">
      <alignment horizontal="center" vertical="center" wrapText="1"/>
    </xf>
    <xf numFmtId="3" fontId="28" fillId="9" borderId="13" xfId="0" applyNumberFormat="1" applyFont="1" applyFill="1" applyBorder="1" applyAlignment="1">
      <alignment horizontal="center" vertical="center" wrapText="1"/>
    </xf>
    <xf numFmtId="3" fontId="28" fillId="9" borderId="29" xfId="0" applyNumberFormat="1" applyFont="1" applyFill="1" applyBorder="1" applyAlignment="1">
      <alignment horizontal="center" vertical="center" wrapText="1"/>
    </xf>
    <xf numFmtId="165" fontId="28" fillId="9" borderId="30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4" fontId="5" fillId="21" borderId="16" xfId="0" applyNumberFormat="1" applyFont="1" applyFill="1" applyBorder="1" applyAlignment="1">
      <alignment horizontal="center"/>
    </xf>
    <xf numFmtId="4" fontId="5" fillId="21" borderId="17" xfId="0" applyNumberFormat="1" applyFont="1" applyFill="1" applyBorder="1" applyAlignment="1">
      <alignment horizontal="center"/>
    </xf>
    <xf numFmtId="4" fontId="5" fillId="21" borderId="18" xfId="0" applyNumberFormat="1" applyFont="1" applyFill="1" applyBorder="1" applyAlignment="1">
      <alignment horizontal="center"/>
    </xf>
    <xf numFmtId="4" fontId="5" fillId="21" borderId="8" xfId="0" applyNumberFormat="1" applyFont="1" applyFill="1" applyBorder="1" applyAlignment="1">
      <alignment horizontal="center"/>
    </xf>
    <xf numFmtId="4" fontId="5" fillId="21" borderId="55" xfId="0" applyNumberFormat="1" applyFont="1" applyFill="1" applyBorder="1" applyAlignment="1">
      <alignment horizontal="center"/>
    </xf>
    <xf numFmtId="4" fontId="5" fillId="21" borderId="64" xfId="0" applyNumberFormat="1" applyFont="1" applyFill="1" applyBorder="1" applyAlignment="1">
      <alignment horizontal="center"/>
    </xf>
    <xf numFmtId="4" fontId="5" fillId="21" borderId="5" xfId="0" applyNumberFormat="1" applyFont="1" applyFill="1" applyBorder="1" applyAlignment="1">
      <alignment horizontal="center"/>
    </xf>
    <xf numFmtId="4" fontId="5" fillId="21" borderId="7" xfId="0" applyNumberFormat="1" applyFont="1" applyFill="1" applyBorder="1" applyAlignment="1">
      <alignment horizontal="center"/>
    </xf>
    <xf numFmtId="3" fontId="4" fillId="21" borderId="16" xfId="0" applyNumberFormat="1" applyFont="1" applyFill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17" xfId="0" applyNumberFormat="1" applyFont="1" applyFill="1" applyBorder="1" applyAlignment="1">
      <alignment horizontal="center"/>
    </xf>
    <xf numFmtId="3" fontId="14" fillId="19" borderId="18" xfId="0" applyNumberFormat="1" applyFont="1" applyFill="1" applyBorder="1" applyAlignment="1">
      <alignment horizontal="center"/>
    </xf>
    <xf numFmtId="3" fontId="14" fillId="19" borderId="0" xfId="0" applyNumberFormat="1" applyFont="1" applyFill="1" applyBorder="1" applyAlignment="1">
      <alignment horizontal="center"/>
    </xf>
    <xf numFmtId="3" fontId="14" fillId="19" borderId="8" xfId="0" applyNumberFormat="1" applyFont="1" applyFill="1" applyBorder="1" applyAlignment="1">
      <alignment horizontal="center"/>
    </xf>
    <xf numFmtId="3" fontId="14" fillId="19" borderId="16" xfId="0" applyNumberFormat="1" applyFont="1" applyFill="1" applyBorder="1" applyAlignment="1">
      <alignment horizontal="center"/>
    </xf>
    <xf numFmtId="3" fontId="14" fillId="19" borderId="15" xfId="0" applyNumberFormat="1" applyFont="1" applyFill="1" applyBorder="1" applyAlignment="1">
      <alignment horizontal="center"/>
    </xf>
    <xf numFmtId="3" fontId="14" fillId="19" borderId="17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9" fillId="32" borderId="55" xfId="0" applyNumberFormat="1" applyFont="1" applyFill="1" applyBorder="1" applyAlignment="1">
      <alignment horizontal="center" vertical="center"/>
    </xf>
    <xf numFmtId="3" fontId="9" fillId="32" borderId="64" xfId="0" applyNumberFormat="1" applyFont="1" applyFill="1" applyBorder="1" applyAlignment="1">
      <alignment horizontal="center" vertical="center"/>
    </xf>
    <xf numFmtId="3" fontId="32" fillId="21" borderId="16" xfId="0" applyNumberFormat="1" applyFont="1" applyFill="1" applyBorder="1" applyAlignment="1">
      <alignment horizontal="center" vertical="center"/>
    </xf>
    <xf numFmtId="3" fontId="32" fillId="21" borderId="17" xfId="0" applyNumberFormat="1" applyFont="1" applyFill="1" applyBorder="1" applyAlignment="1">
      <alignment horizontal="center" vertical="center"/>
    </xf>
    <xf numFmtId="3" fontId="32" fillId="21" borderId="18" xfId="0" applyNumberFormat="1" applyFont="1" applyFill="1" applyBorder="1" applyAlignment="1">
      <alignment horizontal="center" vertical="center"/>
    </xf>
    <xf numFmtId="3" fontId="32" fillId="21" borderId="8" xfId="0" applyNumberFormat="1" applyFont="1" applyFill="1" applyBorder="1" applyAlignment="1">
      <alignment horizontal="center" vertical="center"/>
    </xf>
    <xf numFmtId="3" fontId="32" fillId="21" borderId="55" xfId="0" applyNumberFormat="1" applyFont="1" applyFill="1" applyBorder="1" applyAlignment="1">
      <alignment horizontal="center" vertical="center"/>
    </xf>
    <xf numFmtId="3" fontId="32" fillId="21" borderId="64" xfId="0" applyNumberFormat="1" applyFont="1" applyFill="1" applyBorder="1" applyAlignment="1">
      <alignment horizontal="center" vertical="center"/>
    </xf>
    <xf numFmtId="3" fontId="23" fillId="21" borderId="0" xfId="0" applyNumberFormat="1" applyFont="1" applyFill="1" applyBorder="1" applyAlignment="1">
      <alignment horizontal="center" vertical="center"/>
    </xf>
    <xf numFmtId="3" fontId="23" fillId="21" borderId="20" xfId="0" applyNumberFormat="1" applyFont="1" applyFill="1" applyBorder="1" applyAlignment="1">
      <alignment horizontal="center" vertical="center"/>
    </xf>
    <xf numFmtId="3" fontId="23" fillId="21" borderId="11" xfId="0" applyNumberFormat="1" applyFont="1" applyFill="1" applyBorder="1" applyAlignment="1">
      <alignment horizontal="center" vertical="center"/>
    </xf>
    <xf numFmtId="3" fontId="23" fillId="21" borderId="2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top" wrapText="1"/>
    </xf>
    <xf numFmtId="3" fontId="5" fillId="14" borderId="29" xfId="0" applyNumberFormat="1" applyFont="1" applyFill="1" applyBorder="1" applyAlignment="1">
      <alignment horizontal="center"/>
    </xf>
    <xf numFmtId="3" fontId="5" fillId="14" borderId="3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25" borderId="29" xfId="0" applyNumberFormat="1" applyFont="1" applyFill="1" applyBorder="1" applyAlignment="1">
      <alignment horizontal="center"/>
    </xf>
    <xf numFmtId="3" fontId="5" fillId="25" borderId="28" xfId="0" applyNumberFormat="1" applyFont="1" applyFill="1" applyBorder="1" applyAlignment="1">
      <alignment horizontal="center"/>
    </xf>
    <xf numFmtId="3" fontId="5" fillId="25" borderId="30" xfId="0" applyNumberFormat="1" applyFont="1" applyFill="1" applyBorder="1" applyAlignment="1">
      <alignment horizontal="center"/>
    </xf>
    <xf numFmtId="3" fontId="4" fillId="25" borderId="13" xfId="0" applyNumberFormat="1" applyFont="1" applyFill="1" applyBorder="1" applyAlignment="1">
      <alignment horizontal="center" vertical="center" readingOrder="2"/>
    </xf>
    <xf numFmtId="3" fontId="5" fillId="25" borderId="13" xfId="0" applyNumberFormat="1" applyFont="1" applyFill="1" applyBorder="1" applyAlignment="1">
      <alignment horizontal="center"/>
    </xf>
    <xf numFmtId="0" fontId="5" fillId="21" borderId="52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9" borderId="13" xfId="0" applyNumberFormat="1" applyFont="1" applyFill="1" applyBorder="1" applyAlignment="1">
      <alignment horizontal="center" vertical="center"/>
    </xf>
    <xf numFmtId="3" fontId="0" fillId="35" borderId="70" xfId="0" applyNumberFormat="1" applyFill="1" applyBorder="1" applyAlignment="1">
      <alignment horizontal="center" vertical="center"/>
    </xf>
    <xf numFmtId="3" fontId="0" fillId="35" borderId="31" xfId="0" applyNumberFormat="1" applyFill="1" applyBorder="1" applyAlignment="1">
      <alignment horizontal="center" vertical="center"/>
    </xf>
    <xf numFmtId="3" fontId="0" fillId="35" borderId="71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99FF66"/>
      <color rgb="FFCCECFF"/>
      <color rgb="FF009900"/>
      <color rgb="FFFFFF99"/>
      <color rgb="FF66FF99"/>
      <color rgb="FF99FFCC"/>
      <color rgb="FFFFCCCC"/>
      <color rgb="FFFF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'فروش محصولات '!$T$13</c:f>
              <c:strCache>
                <c:ptCount val="1"/>
                <c:pt idx="0">
                  <c:v>درصد </c:v>
                </c:pt>
              </c:strCache>
            </c:strRef>
          </c:tx>
          <c:invertIfNegative val="0"/>
          <c:cat>
            <c:strRef>
              <c:f>'فروش محصولات '!$S$14:$S$17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جمع</c:v>
                </c:pt>
              </c:strCache>
            </c:strRef>
          </c:cat>
          <c:val>
            <c:numRef>
              <c:f>'فروش محصولات '!$T$14:$T$17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'فروش محصولات '!$U$13</c:f>
              <c:strCache>
                <c:ptCount val="1"/>
                <c:pt idx="0">
                  <c:v>مبلغ فروش </c:v>
                </c:pt>
              </c:strCache>
            </c:strRef>
          </c:tx>
          <c:invertIfNegative val="0"/>
          <c:cat>
            <c:strRef>
              <c:f>'فروش محصولات '!$S$14:$S$17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جمع</c:v>
                </c:pt>
              </c:strCache>
            </c:strRef>
          </c:cat>
          <c:val>
            <c:numRef>
              <c:f>'فروش محصولات '!$U$14:$U$17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'فروش محصولات '!$V$13</c:f>
              <c:strCache>
                <c:ptCount val="1"/>
                <c:pt idx="0">
                  <c:v>مقدار - فروش </c:v>
                </c:pt>
              </c:strCache>
            </c:strRef>
          </c:tx>
          <c:invertIfNegative val="0"/>
          <c:cat>
            <c:strRef>
              <c:f>'فروش محصولات '!$S$14:$S$17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جمع</c:v>
                </c:pt>
              </c:strCache>
            </c:strRef>
          </c:cat>
          <c:val>
            <c:numRef>
              <c:f>'فروش محصولات '!$V$14:$V$17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119296"/>
        <c:axId val="206120832"/>
        <c:axId val="0"/>
      </c:bar3DChart>
      <c:catAx>
        <c:axId val="20611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6120832"/>
        <c:crosses val="autoZero"/>
        <c:auto val="1"/>
        <c:lblAlgn val="ctr"/>
        <c:lblOffset val="100"/>
        <c:noMultiLvlLbl val="0"/>
      </c:catAx>
      <c:valAx>
        <c:axId val="206120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11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7259842519685273"/>
          <c:y val="0.14184817744610828"/>
          <c:w val="0.45757939632546196"/>
          <c:h val="0.76112212462659323"/>
        </c:manualLayout>
      </c:layout>
      <c:pieChart>
        <c:varyColors val="1"/>
        <c:ser>
          <c:idx val="0"/>
          <c:order val="0"/>
          <c:tx>
            <c:strRef>
              <c:f>'دستمزد مستقیم'!$W$4</c:f>
              <c:strCache>
                <c:ptCount val="1"/>
                <c:pt idx="0">
                  <c:v>حقوق و مزاياي ماهيانه </c:v>
                </c:pt>
              </c:strCache>
            </c:strRef>
          </c:tx>
          <c:cat>
            <c:strRef>
              <c:f>'دستمزد مستقیم'!$V$5:$V$9</c:f>
              <c:strCache>
                <c:ptCount val="5"/>
                <c:pt idx="0">
                  <c:v>توليد </c:v>
                </c:pt>
                <c:pt idx="1">
                  <c:v>اداري </c:v>
                </c:pt>
                <c:pt idx="2">
                  <c:v>فروش </c:v>
                </c:pt>
                <c:pt idx="3">
                  <c:v>خدماتي </c:v>
                </c:pt>
                <c:pt idx="4">
                  <c:v>جمع</c:v>
                </c:pt>
              </c:strCache>
            </c:strRef>
          </c:cat>
          <c:val>
            <c:numRef>
              <c:f>'دستمزد مستقیم'!$W$5:$W$9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'دستمزد مستقیم'!$X$4</c:f>
              <c:strCache>
                <c:ptCount val="1"/>
                <c:pt idx="0">
                  <c:v>تعداد كاركنان </c:v>
                </c:pt>
              </c:strCache>
            </c:strRef>
          </c:tx>
          <c:cat>
            <c:strRef>
              <c:f>'دستمزد مستقیم'!$V$5:$V$9</c:f>
              <c:strCache>
                <c:ptCount val="5"/>
                <c:pt idx="0">
                  <c:v>توليد </c:v>
                </c:pt>
                <c:pt idx="1">
                  <c:v>اداري </c:v>
                </c:pt>
                <c:pt idx="2">
                  <c:v>فروش </c:v>
                </c:pt>
                <c:pt idx="3">
                  <c:v>خدماتي </c:v>
                </c:pt>
                <c:pt idx="4">
                  <c:v>جمع</c:v>
                </c:pt>
              </c:strCache>
            </c:strRef>
          </c:cat>
          <c:val>
            <c:numRef>
              <c:f>'دستمزد مستقیم'!$X$5:$X$9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'دستمزد مستقیم'!$Y$4</c:f>
              <c:strCache>
                <c:ptCount val="1"/>
                <c:pt idx="0">
                  <c:v>حقوق و مزاياي فردي ماهيانه  </c:v>
                </c:pt>
              </c:strCache>
            </c:strRef>
          </c:tx>
          <c:cat>
            <c:strRef>
              <c:f>'دستمزد مستقیم'!$V$5:$V$9</c:f>
              <c:strCache>
                <c:ptCount val="5"/>
                <c:pt idx="0">
                  <c:v>توليد </c:v>
                </c:pt>
                <c:pt idx="1">
                  <c:v>اداري </c:v>
                </c:pt>
                <c:pt idx="2">
                  <c:v>فروش </c:v>
                </c:pt>
                <c:pt idx="3">
                  <c:v>خدماتي </c:v>
                </c:pt>
                <c:pt idx="4">
                  <c:v>جمع</c:v>
                </c:pt>
              </c:strCache>
            </c:strRef>
          </c:cat>
          <c:val>
            <c:numRef>
              <c:f>'دستمزد مستقیم'!$Y$5:$Y$9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428625</xdr:colOff>
      <xdr:row>17</xdr:row>
      <xdr:rowOff>200025</xdr:rowOff>
    </xdr:from>
    <xdr:to>
      <xdr:col>21</xdr:col>
      <xdr:colOff>590550</xdr:colOff>
      <xdr:row>25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312965</xdr:colOff>
      <xdr:row>10</xdr:row>
      <xdr:rowOff>27214</xdr:rowOff>
    </xdr:from>
    <xdr:to>
      <xdr:col>24</xdr:col>
      <xdr:colOff>2231571</xdr:colOff>
      <xdr:row>16</xdr:row>
      <xdr:rowOff>204107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312965</xdr:colOff>
      <xdr:row>17</xdr:row>
      <xdr:rowOff>244928</xdr:rowOff>
    </xdr:from>
    <xdr:to>
      <xdr:col>25</xdr:col>
      <xdr:colOff>0</xdr:colOff>
      <xdr:row>28</xdr:row>
      <xdr:rowOff>149678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285750</xdr:colOff>
      <xdr:row>29</xdr:row>
      <xdr:rowOff>95249</xdr:rowOff>
    </xdr:from>
    <xdr:to>
      <xdr:col>24</xdr:col>
      <xdr:colOff>2245178</xdr:colOff>
      <xdr:row>39</xdr:row>
      <xdr:rowOff>258535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30</xdr:row>
      <xdr:rowOff>357187</xdr:rowOff>
    </xdr:from>
    <xdr:to>
      <xdr:col>17</xdr:col>
      <xdr:colOff>71438</xdr:colOff>
      <xdr:row>33</xdr:row>
      <xdr:rowOff>214313</xdr:rowOff>
    </xdr:to>
    <xdr:sp macro="" textlink="">
      <xdr:nvSpPr>
        <xdr:cNvPr id="2" name="Right Brace 1"/>
        <xdr:cNvSpPr/>
      </xdr:nvSpPr>
      <xdr:spPr>
        <a:xfrm>
          <a:off x="19812000" y="9953625"/>
          <a:ext cx="452438" cy="102393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142875</xdr:colOff>
      <xdr:row>15</xdr:row>
      <xdr:rowOff>214312</xdr:rowOff>
    </xdr:from>
    <xdr:to>
      <xdr:col>17</xdr:col>
      <xdr:colOff>47625</xdr:colOff>
      <xdr:row>30</xdr:row>
      <xdr:rowOff>309562</xdr:rowOff>
    </xdr:to>
    <xdr:sp macro="" textlink="">
      <xdr:nvSpPr>
        <xdr:cNvPr id="3" name="Right Brace 2"/>
        <xdr:cNvSpPr/>
      </xdr:nvSpPr>
      <xdr:spPr>
        <a:xfrm>
          <a:off x="19859625" y="5095875"/>
          <a:ext cx="381000" cy="481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7"/>
  <sheetViews>
    <sheetView topLeftCell="I1" zoomScale="90" zoomScaleNormal="90" workbookViewId="0">
      <selection activeCell="Q10" sqref="Q10"/>
    </sheetView>
  </sheetViews>
  <sheetFormatPr defaultColWidth="9.125" defaultRowHeight="23.25"/>
  <cols>
    <col min="1" max="1" width="9.125" style="24"/>
    <col min="2" max="2" width="9.125" style="24" customWidth="1"/>
    <col min="3" max="3" width="34.625" style="24" bestFit="1" customWidth="1"/>
    <col min="4" max="4" width="34.25" style="24" bestFit="1" customWidth="1"/>
    <col min="5" max="10" width="12.875" style="24" bestFit="1" customWidth="1"/>
    <col min="11" max="11" width="13.875" style="24" bestFit="1" customWidth="1"/>
    <col min="12" max="14" width="12.875" style="24" bestFit="1" customWidth="1"/>
    <col min="15" max="15" width="18.625" style="24" bestFit="1" customWidth="1"/>
    <col min="16" max="16" width="15.75" style="24" bestFit="1" customWidth="1"/>
    <col min="17" max="17" width="49.75" style="24" bestFit="1" customWidth="1"/>
    <col min="18" max="18" width="6.75" style="328" customWidth="1"/>
    <col min="19" max="19" width="12.75" style="24" bestFit="1" customWidth="1"/>
    <col min="20" max="20" width="41.875" style="24" bestFit="1" customWidth="1"/>
    <col min="21" max="16384" width="9.125" style="24"/>
  </cols>
  <sheetData>
    <row r="2" spans="3:27">
      <c r="D2" s="418" t="s">
        <v>383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20"/>
      <c r="R2" s="327"/>
    </row>
    <row r="3" spans="3:27">
      <c r="D3" s="421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3"/>
      <c r="R3" s="327"/>
    </row>
    <row r="4" spans="3:27" ht="24" thickBot="1">
      <c r="D4" s="309"/>
      <c r="E4" s="310">
        <f t="shared" ref="E4" si="0">F4</f>
        <v>1</v>
      </c>
      <c r="F4" s="310">
        <f t="shared" ref="F4" si="1">G4</f>
        <v>1</v>
      </c>
      <c r="G4" s="310">
        <f t="shared" ref="G4" si="2">H4</f>
        <v>1</v>
      </c>
      <c r="H4" s="310">
        <f t="shared" ref="H4" si="3">I4</f>
        <v>1</v>
      </c>
      <c r="I4" s="310">
        <f t="shared" ref="I4:L4" si="4">J4</f>
        <v>1</v>
      </c>
      <c r="J4" s="310">
        <f t="shared" si="4"/>
        <v>1</v>
      </c>
      <c r="K4" s="310">
        <f t="shared" si="4"/>
        <v>1</v>
      </c>
      <c r="L4" s="310">
        <f t="shared" si="4"/>
        <v>1</v>
      </c>
      <c r="M4" s="310">
        <f>N4</f>
        <v>1</v>
      </c>
      <c r="N4" s="310">
        <f>O4</f>
        <v>1</v>
      </c>
      <c r="O4" s="310">
        <f>P4</f>
        <v>1</v>
      </c>
      <c r="P4" s="397">
        <v>1</v>
      </c>
      <c r="Q4" s="396" t="s">
        <v>456</v>
      </c>
      <c r="R4" s="327"/>
    </row>
    <row r="5" spans="3:27" ht="24.75" thickTop="1" thickBot="1">
      <c r="D5" s="309"/>
      <c r="E5" s="310">
        <f t="shared" ref="E5:N5" si="5">F5</f>
        <v>1</v>
      </c>
      <c r="F5" s="310">
        <f t="shared" si="5"/>
        <v>1</v>
      </c>
      <c r="G5" s="310">
        <f t="shared" si="5"/>
        <v>1</v>
      </c>
      <c r="H5" s="310">
        <f t="shared" si="5"/>
        <v>1</v>
      </c>
      <c r="I5" s="310">
        <f t="shared" si="5"/>
        <v>1</v>
      </c>
      <c r="J5" s="310">
        <f t="shared" si="5"/>
        <v>1</v>
      </c>
      <c r="K5" s="310">
        <f t="shared" si="5"/>
        <v>1</v>
      </c>
      <c r="L5" s="310">
        <f t="shared" si="5"/>
        <v>1</v>
      </c>
      <c r="M5" s="310">
        <f t="shared" si="5"/>
        <v>1</v>
      </c>
      <c r="N5" s="310">
        <f t="shared" si="5"/>
        <v>1</v>
      </c>
      <c r="O5" s="310">
        <f>P5</f>
        <v>1</v>
      </c>
      <c r="P5" s="397">
        <v>1</v>
      </c>
      <c r="Q5" s="396" t="s">
        <v>455</v>
      </c>
      <c r="R5" s="327"/>
      <c r="S5" s="180"/>
      <c r="T5" s="180" t="s">
        <v>378</v>
      </c>
    </row>
    <row r="6" spans="3:27" ht="27" customHeight="1" thickTop="1" thickBot="1">
      <c r="C6" s="179"/>
      <c r="D6" s="307" t="s">
        <v>384</v>
      </c>
      <c r="E6" s="307" t="s">
        <v>11</v>
      </c>
      <c r="F6" s="307" t="s">
        <v>10</v>
      </c>
      <c r="G6" s="307" t="s">
        <v>9</v>
      </c>
      <c r="H6" s="307" t="s">
        <v>8</v>
      </c>
      <c r="I6" s="307" t="s">
        <v>7</v>
      </c>
      <c r="J6" s="307" t="s">
        <v>6</v>
      </c>
      <c r="K6" s="307" t="s">
        <v>5</v>
      </c>
      <c r="L6" s="307" t="s">
        <v>4</v>
      </c>
      <c r="M6" s="307" t="s">
        <v>3</v>
      </c>
      <c r="N6" s="307" t="s">
        <v>2</v>
      </c>
      <c r="O6" s="307" t="s">
        <v>1</v>
      </c>
      <c r="P6" s="308" t="s">
        <v>0</v>
      </c>
      <c r="Q6" s="399" t="s">
        <v>436</v>
      </c>
      <c r="R6" s="327"/>
      <c r="S6" s="180"/>
      <c r="T6" s="180" t="s">
        <v>379</v>
      </c>
      <c r="AA6" s="89"/>
    </row>
    <row r="7" spans="3:27" ht="24.75" customHeight="1" thickTop="1" thickBot="1">
      <c r="C7" s="175"/>
      <c r="D7" s="89">
        <f>SUM(E7:Q7)</f>
        <v>0</v>
      </c>
      <c r="E7" s="89">
        <f t="shared" ref="E7:N7" si="6">$S7*E4</f>
        <v>0</v>
      </c>
      <c r="F7" s="89">
        <f t="shared" si="6"/>
        <v>0</v>
      </c>
      <c r="G7" s="89">
        <f t="shared" si="6"/>
        <v>0</v>
      </c>
      <c r="H7" s="89">
        <f t="shared" si="6"/>
        <v>0</v>
      </c>
      <c r="I7" s="89">
        <f t="shared" si="6"/>
        <v>0</v>
      </c>
      <c r="J7" s="89">
        <f t="shared" si="6"/>
        <v>0</v>
      </c>
      <c r="K7" s="89">
        <f t="shared" si="6"/>
        <v>0</v>
      </c>
      <c r="L7" s="89">
        <f t="shared" si="6"/>
        <v>0</v>
      </c>
      <c r="M7" s="89">
        <f t="shared" si="6"/>
        <v>0</v>
      </c>
      <c r="N7" s="89">
        <f t="shared" si="6"/>
        <v>0</v>
      </c>
      <c r="O7" s="89">
        <f>$S7*O4</f>
        <v>0</v>
      </c>
      <c r="P7" s="398">
        <f>$S6*P4</f>
        <v>0</v>
      </c>
      <c r="Q7" s="400" t="s">
        <v>13</v>
      </c>
      <c r="R7" s="327"/>
      <c r="S7" s="180">
        <f>S6*1</f>
        <v>0</v>
      </c>
      <c r="T7" s="180" t="s">
        <v>434</v>
      </c>
    </row>
    <row r="8" spans="3:27" ht="24.75" customHeight="1" thickBot="1">
      <c r="C8" s="175"/>
      <c r="D8" s="89" t="e">
        <f>D9/D7</f>
        <v>#DIV/0!</v>
      </c>
      <c r="E8" s="89">
        <f t="shared" ref="E8:P8" si="7">$S5*E5</f>
        <v>0</v>
      </c>
      <c r="F8" s="89">
        <f t="shared" si="7"/>
        <v>0</v>
      </c>
      <c r="G8" s="89">
        <f t="shared" si="7"/>
        <v>0</v>
      </c>
      <c r="H8" s="89">
        <f t="shared" si="7"/>
        <v>0</v>
      </c>
      <c r="I8" s="89">
        <f t="shared" si="7"/>
        <v>0</v>
      </c>
      <c r="J8" s="89">
        <f t="shared" si="7"/>
        <v>0</v>
      </c>
      <c r="K8" s="89">
        <f t="shared" si="7"/>
        <v>0</v>
      </c>
      <c r="L8" s="89">
        <f t="shared" si="7"/>
        <v>0</v>
      </c>
      <c r="M8" s="89">
        <f t="shared" si="7"/>
        <v>0</v>
      </c>
      <c r="N8" s="89">
        <f t="shared" si="7"/>
        <v>0</v>
      </c>
      <c r="O8" s="89">
        <f t="shared" si="7"/>
        <v>0</v>
      </c>
      <c r="P8" s="398">
        <f t="shared" si="7"/>
        <v>0</v>
      </c>
      <c r="Q8" s="400" t="s">
        <v>14</v>
      </c>
      <c r="R8" s="327"/>
      <c r="S8" s="330">
        <v>0</v>
      </c>
      <c r="T8" s="331" t="s">
        <v>380</v>
      </c>
    </row>
    <row r="9" spans="3:27" ht="29.25" customHeight="1" thickTop="1" thickBot="1">
      <c r="C9" s="175"/>
      <c r="D9" s="401">
        <f>SUM(E9:Q9)</f>
        <v>0</v>
      </c>
      <c r="E9" s="401">
        <f t="shared" ref="E9:O9" si="8">E7*E8</f>
        <v>0</v>
      </c>
      <c r="F9" s="401">
        <f t="shared" si="8"/>
        <v>0</v>
      </c>
      <c r="G9" s="401">
        <f t="shared" si="8"/>
        <v>0</v>
      </c>
      <c r="H9" s="401">
        <f t="shared" si="8"/>
        <v>0</v>
      </c>
      <c r="I9" s="401">
        <f t="shared" si="8"/>
        <v>0</v>
      </c>
      <c r="J9" s="401">
        <f t="shared" si="8"/>
        <v>0</v>
      </c>
      <c r="K9" s="401">
        <f t="shared" si="8"/>
        <v>0</v>
      </c>
      <c r="L9" s="401">
        <f t="shared" si="8"/>
        <v>0</v>
      </c>
      <c r="M9" s="401">
        <f t="shared" si="8"/>
        <v>0</v>
      </c>
      <c r="N9" s="401">
        <f t="shared" si="8"/>
        <v>0</v>
      </c>
      <c r="O9" s="401">
        <f t="shared" si="8"/>
        <v>0</v>
      </c>
      <c r="P9" s="402">
        <f>P7*P8</f>
        <v>0</v>
      </c>
      <c r="Q9" s="403" t="s">
        <v>506</v>
      </c>
      <c r="R9" s="327"/>
      <c r="S9" s="329">
        <f>D7</f>
        <v>0</v>
      </c>
      <c r="T9" s="180" t="s">
        <v>381</v>
      </c>
    </row>
    <row r="10" spans="3:27" ht="29.25" customHeight="1" thickTop="1" thickBot="1">
      <c r="C10" s="155"/>
      <c r="D10" s="89">
        <f>SUM(E10:P10)</f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77" t="s">
        <v>507</v>
      </c>
      <c r="R10" s="327"/>
      <c r="S10" s="414" t="e">
        <f>(S8-S9)/S8*100</f>
        <v>#DIV/0!</v>
      </c>
      <c r="T10" s="180" t="s">
        <v>382</v>
      </c>
    </row>
    <row r="11" spans="3:27" ht="29.25" customHeight="1" thickBot="1">
      <c r="C11" s="155"/>
      <c r="D11" s="59">
        <f t="shared" ref="D11:O11" si="9">D9-D10</f>
        <v>0</v>
      </c>
      <c r="E11" s="59">
        <f t="shared" si="9"/>
        <v>0</v>
      </c>
      <c r="F11" s="59">
        <f t="shared" si="9"/>
        <v>0</v>
      </c>
      <c r="G11" s="59">
        <f t="shared" si="9"/>
        <v>0</v>
      </c>
      <c r="H11" s="59">
        <f t="shared" si="9"/>
        <v>0</v>
      </c>
      <c r="I11" s="59">
        <f t="shared" si="9"/>
        <v>0</v>
      </c>
      <c r="J11" s="59">
        <f t="shared" si="9"/>
        <v>0</v>
      </c>
      <c r="K11" s="59">
        <f t="shared" si="9"/>
        <v>0</v>
      </c>
      <c r="L11" s="59">
        <f t="shared" si="9"/>
        <v>0</v>
      </c>
      <c r="M11" s="59">
        <f t="shared" si="9"/>
        <v>0</v>
      </c>
      <c r="N11" s="59">
        <f t="shared" si="9"/>
        <v>0</v>
      </c>
      <c r="O11" s="59">
        <f t="shared" si="9"/>
        <v>0</v>
      </c>
      <c r="P11" s="59">
        <f>P9-P10</f>
        <v>0</v>
      </c>
      <c r="Q11" s="60" t="s">
        <v>505</v>
      </c>
      <c r="R11" s="327"/>
      <c r="S11" s="343"/>
      <c r="T11" s="343"/>
    </row>
    <row r="12" spans="3:27" ht="29.25" customHeight="1" thickBo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3:27" ht="29.25" customHeight="1" thickTop="1" thickBot="1">
      <c r="C13" s="156" t="s">
        <v>347</v>
      </c>
      <c r="D13" s="156" t="str">
        <f t="shared" ref="D13:O13" si="10">D6</f>
        <v>جمع فروش سال 93</v>
      </c>
      <c r="E13" s="156" t="str">
        <f t="shared" si="10"/>
        <v xml:space="preserve">اسفند </v>
      </c>
      <c r="F13" s="156" t="str">
        <f t="shared" si="10"/>
        <v>بهمن</v>
      </c>
      <c r="G13" s="156" t="str">
        <f t="shared" si="10"/>
        <v>دی</v>
      </c>
      <c r="H13" s="156" t="str">
        <f t="shared" si="10"/>
        <v>اذر</v>
      </c>
      <c r="I13" s="156" t="str">
        <f t="shared" si="10"/>
        <v>آبان</v>
      </c>
      <c r="J13" s="156" t="str">
        <f t="shared" si="10"/>
        <v>مهر</v>
      </c>
      <c r="K13" s="156" t="str">
        <f t="shared" si="10"/>
        <v>شهریور</v>
      </c>
      <c r="L13" s="156" t="str">
        <f t="shared" si="10"/>
        <v>مرداد</v>
      </c>
      <c r="M13" s="156" t="str">
        <f t="shared" si="10"/>
        <v xml:space="preserve">تیر </v>
      </c>
      <c r="N13" s="156" t="str">
        <f t="shared" si="10"/>
        <v>خرداد</v>
      </c>
      <c r="O13" s="156" t="str">
        <f t="shared" si="10"/>
        <v>اردیبهشت</v>
      </c>
      <c r="P13" s="156" t="str">
        <f>P6</f>
        <v xml:space="preserve">فروردین </v>
      </c>
      <c r="Q13" s="156" t="s">
        <v>346</v>
      </c>
      <c r="R13" s="327"/>
    </row>
    <row r="14" spans="3:27" ht="24.95" customHeight="1" thickTop="1" thickBot="1">
      <c r="C14" s="176"/>
      <c r="D14" s="176">
        <f>SUM(E14:P14)</f>
        <v>0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 t="s">
        <v>17</v>
      </c>
      <c r="R14" s="327"/>
    </row>
    <row r="15" spans="3:27" ht="24.95" customHeight="1" thickBot="1">
      <c r="C15" s="177"/>
      <c r="D15" s="176">
        <f t="shared" ref="D15:D25" si="11">SUM(E15:P15)</f>
        <v>0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6"/>
      <c r="O15" s="177"/>
      <c r="P15" s="177"/>
      <c r="Q15" s="177" t="s">
        <v>18</v>
      </c>
      <c r="R15" s="327"/>
    </row>
    <row r="16" spans="3:27" ht="24.95" customHeight="1" thickBot="1">
      <c r="C16" s="177"/>
      <c r="D16" s="176">
        <f t="shared" si="11"/>
        <v>0</v>
      </c>
      <c r="E16" s="177"/>
      <c r="F16" s="177"/>
      <c r="G16" s="177"/>
      <c r="H16" s="177"/>
      <c r="I16" s="177"/>
      <c r="J16" s="177"/>
      <c r="K16" s="177"/>
      <c r="L16" s="177"/>
      <c r="M16" s="176"/>
      <c r="N16" s="177"/>
      <c r="O16" s="177"/>
      <c r="P16" s="177"/>
      <c r="Q16" s="177" t="s">
        <v>19</v>
      </c>
      <c r="R16" s="327"/>
    </row>
    <row r="17" spans="3:18" ht="24.95" customHeight="1" thickBot="1">
      <c r="C17" s="177"/>
      <c r="D17" s="176">
        <f t="shared" si="11"/>
        <v>0</v>
      </c>
      <c r="E17" s="177"/>
      <c r="F17" s="177"/>
      <c r="G17" s="177"/>
      <c r="H17" s="177"/>
      <c r="I17" s="177"/>
      <c r="J17" s="177"/>
      <c r="K17" s="177"/>
      <c r="L17" s="176"/>
      <c r="M17" s="177"/>
      <c r="N17" s="177"/>
      <c r="O17" s="177"/>
      <c r="P17" s="177"/>
      <c r="Q17" s="177" t="s">
        <v>20</v>
      </c>
      <c r="R17" s="327"/>
    </row>
    <row r="18" spans="3:18" ht="24.95" customHeight="1" thickBot="1">
      <c r="C18" s="177"/>
      <c r="D18" s="176">
        <f t="shared" si="11"/>
        <v>0</v>
      </c>
      <c r="E18" s="177"/>
      <c r="F18" s="177"/>
      <c r="G18" s="177"/>
      <c r="H18" s="177"/>
      <c r="I18" s="177"/>
      <c r="J18" s="177"/>
      <c r="K18" s="176"/>
      <c r="L18" s="177"/>
      <c r="M18" s="178"/>
      <c r="N18" s="178"/>
      <c r="O18" s="178"/>
      <c r="P18" s="178"/>
      <c r="Q18" s="177" t="s">
        <v>21</v>
      </c>
      <c r="R18" s="327"/>
    </row>
    <row r="19" spans="3:18" ht="24.95" customHeight="1" thickBot="1">
      <c r="C19" s="177"/>
      <c r="D19" s="176">
        <f t="shared" si="11"/>
        <v>0</v>
      </c>
      <c r="E19" s="177"/>
      <c r="F19" s="177"/>
      <c r="G19" s="177"/>
      <c r="H19" s="177"/>
      <c r="I19" s="177"/>
      <c r="J19" s="176"/>
      <c r="K19" s="177"/>
      <c r="L19" s="177"/>
      <c r="M19" s="177"/>
      <c r="N19" s="177"/>
      <c r="O19" s="177"/>
      <c r="P19" s="177"/>
      <c r="Q19" s="177" t="s">
        <v>22</v>
      </c>
      <c r="R19" s="327"/>
    </row>
    <row r="20" spans="3:18" ht="24.95" customHeight="1" thickBot="1">
      <c r="C20" s="177"/>
      <c r="D20" s="176">
        <f t="shared" si="11"/>
        <v>0</v>
      </c>
      <c r="E20" s="177"/>
      <c r="F20" s="177"/>
      <c r="G20" s="177"/>
      <c r="H20" s="177"/>
      <c r="I20" s="176"/>
      <c r="J20" s="177"/>
      <c r="K20" s="177"/>
      <c r="L20" s="177"/>
      <c r="M20" s="177"/>
      <c r="N20" s="177"/>
      <c r="O20" s="177"/>
      <c r="P20" s="177"/>
      <c r="Q20" s="177" t="s">
        <v>23</v>
      </c>
      <c r="R20" s="327"/>
    </row>
    <row r="21" spans="3:18" ht="24.95" customHeight="1" thickBot="1">
      <c r="C21" s="177"/>
      <c r="D21" s="176">
        <f t="shared" si="11"/>
        <v>0</v>
      </c>
      <c r="E21" s="177"/>
      <c r="F21" s="177"/>
      <c r="G21" s="177"/>
      <c r="H21" s="176"/>
      <c r="I21" s="177"/>
      <c r="J21" s="177"/>
      <c r="K21" s="177"/>
      <c r="L21" s="177"/>
      <c r="M21" s="177"/>
      <c r="N21" s="177"/>
      <c r="O21" s="177"/>
      <c r="P21" s="177"/>
      <c r="Q21" s="177" t="s">
        <v>24</v>
      </c>
      <c r="R21" s="327"/>
    </row>
    <row r="22" spans="3:18" ht="24.95" customHeight="1" thickBot="1">
      <c r="C22" s="177"/>
      <c r="D22" s="176">
        <f t="shared" si="11"/>
        <v>0</v>
      </c>
      <c r="E22" s="177"/>
      <c r="F22" s="177"/>
      <c r="G22" s="176"/>
      <c r="H22" s="177"/>
      <c r="I22" s="178"/>
      <c r="J22" s="178"/>
      <c r="K22" s="178"/>
      <c r="L22" s="178"/>
      <c r="M22" s="178"/>
      <c r="N22" s="178"/>
      <c r="O22" s="178"/>
      <c r="P22" s="178"/>
      <c r="Q22" s="177" t="s">
        <v>25</v>
      </c>
      <c r="R22" s="327"/>
    </row>
    <row r="23" spans="3:18" ht="24.95" customHeight="1" thickBot="1">
      <c r="C23" s="177"/>
      <c r="D23" s="176">
        <f t="shared" si="11"/>
        <v>0</v>
      </c>
      <c r="E23" s="177"/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 t="s">
        <v>26</v>
      </c>
      <c r="R23" s="327"/>
    </row>
    <row r="24" spans="3:18" ht="24.95" customHeight="1" thickBot="1">
      <c r="C24" s="177"/>
      <c r="D24" s="176">
        <f t="shared" si="11"/>
        <v>0</v>
      </c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 t="s">
        <v>27</v>
      </c>
      <c r="R24" s="327"/>
    </row>
    <row r="25" spans="3:18" ht="24.95" customHeight="1" thickBot="1">
      <c r="C25" s="177"/>
      <c r="D25" s="176">
        <f t="shared" si="11"/>
        <v>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 t="s">
        <v>28</v>
      </c>
      <c r="R25" s="327"/>
    </row>
    <row r="26" spans="3:18" ht="50.25" customHeight="1" thickBot="1">
      <c r="C26" s="181">
        <f t="shared" ref="C26:O26" si="12">SUM(C14:C25)</f>
        <v>0</v>
      </c>
      <c r="D26" s="181">
        <f t="shared" si="12"/>
        <v>0</v>
      </c>
      <c r="E26" s="181">
        <f t="shared" si="12"/>
        <v>0</v>
      </c>
      <c r="F26" s="181">
        <f t="shared" si="12"/>
        <v>0</v>
      </c>
      <c r="G26" s="181">
        <f t="shared" si="12"/>
        <v>0</v>
      </c>
      <c r="H26" s="181">
        <f t="shared" si="12"/>
        <v>0</v>
      </c>
      <c r="I26" s="181">
        <f t="shared" si="12"/>
        <v>0</v>
      </c>
      <c r="J26" s="181">
        <f t="shared" si="12"/>
        <v>0</v>
      </c>
      <c r="K26" s="181">
        <f t="shared" si="12"/>
        <v>0</v>
      </c>
      <c r="L26" s="181">
        <f t="shared" si="12"/>
        <v>0</v>
      </c>
      <c r="M26" s="181">
        <f t="shared" si="12"/>
        <v>0</v>
      </c>
      <c r="N26" s="181">
        <f t="shared" si="12"/>
        <v>0</v>
      </c>
      <c r="O26" s="181">
        <f t="shared" si="12"/>
        <v>0</v>
      </c>
      <c r="P26" s="181">
        <f>SUM(P14:P25)</f>
        <v>0</v>
      </c>
      <c r="Q26" s="182" t="s">
        <v>29</v>
      </c>
      <c r="R26" s="155"/>
    </row>
    <row r="27" spans="3:18" ht="30" customHeight="1" thickBot="1">
      <c r="C27" s="183" t="s">
        <v>348</v>
      </c>
      <c r="D27" s="415" t="s">
        <v>349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7"/>
      <c r="R27" s="155"/>
    </row>
  </sheetData>
  <mergeCells count="2">
    <mergeCell ref="D27:Q27"/>
    <mergeCell ref="D2:Q3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AW21"/>
  <sheetViews>
    <sheetView topLeftCell="AQ3" zoomScale="80" zoomScaleNormal="80" workbookViewId="0">
      <selection activeCell="AW16" sqref="AW16"/>
    </sheetView>
  </sheetViews>
  <sheetFormatPr defaultColWidth="9.125" defaultRowHeight="26.25"/>
  <cols>
    <col min="1" max="6" width="9.125" style="259"/>
    <col min="7" max="7" width="0.375" style="259" customWidth="1"/>
    <col min="8" max="8" width="9.25" style="259" customWidth="1"/>
    <col min="9" max="9" width="35.75" style="259" bestFit="1" customWidth="1"/>
    <col min="10" max="10" width="28.375" style="259" bestFit="1" customWidth="1"/>
    <col min="11" max="11" width="3.375" style="259" customWidth="1"/>
    <col min="12" max="12" width="33.875" style="259" bestFit="1" customWidth="1"/>
    <col min="13" max="13" width="0.375" style="274" customWidth="1"/>
    <col min="14" max="14" width="19.125" style="259" customWidth="1"/>
    <col min="15" max="15" width="19.625" style="259" customWidth="1"/>
    <col min="16" max="16" width="33" style="259" bestFit="1" customWidth="1"/>
    <col min="17" max="17" width="4.25" style="259" customWidth="1"/>
    <col min="18" max="18" width="34.625" style="259" bestFit="1" customWidth="1"/>
    <col min="19" max="19" width="34.625" style="259" customWidth="1"/>
    <col min="20" max="20" width="28" style="259" customWidth="1"/>
    <col min="21" max="21" width="0.625" style="274" hidden="1" customWidth="1"/>
    <col min="22" max="22" width="29.375" style="259" customWidth="1"/>
    <col min="23" max="23" width="35.75" style="259" bestFit="1" customWidth="1"/>
    <col min="24" max="24" width="56.375" style="259" bestFit="1" customWidth="1"/>
    <col min="25" max="25" width="9" style="259" customWidth="1"/>
    <col min="26" max="26" width="23.25" style="259" bestFit="1" customWidth="1"/>
    <col min="27" max="27" width="18.875" style="259" bestFit="1" customWidth="1"/>
    <col min="28" max="28" width="27.625" style="259" bestFit="1" customWidth="1"/>
    <col min="29" max="29" width="28.375" style="259" bestFit="1" customWidth="1"/>
    <col min="30" max="30" width="40.625" style="259" bestFit="1" customWidth="1"/>
    <col min="31" max="31" width="8.625" style="264" customWidth="1"/>
    <col min="32" max="32" width="23.875" style="259" customWidth="1"/>
    <col min="33" max="33" width="28" style="259" bestFit="1" customWidth="1"/>
    <col min="34" max="34" width="40.625" style="259" bestFit="1" customWidth="1"/>
    <col min="35" max="35" width="9.125" style="259"/>
    <col min="36" max="48" width="30.625" style="259" customWidth="1"/>
    <col min="49" max="49" width="38.875" style="259" bestFit="1" customWidth="1"/>
    <col min="50" max="16384" width="9.125" style="259"/>
  </cols>
  <sheetData>
    <row r="1" spans="9:49" ht="27" thickBot="1">
      <c r="AJ1" s="275"/>
    </row>
    <row r="2" spans="9:49" ht="27.75" thickTop="1" thickBot="1">
      <c r="I2" s="444" t="s">
        <v>375</v>
      </c>
      <c r="J2" s="445"/>
      <c r="K2" s="276"/>
      <c r="L2" s="444" t="s">
        <v>97</v>
      </c>
      <c r="M2" s="452"/>
      <c r="N2" s="452"/>
      <c r="O2" s="452"/>
      <c r="P2" s="452"/>
      <c r="Q2" s="260"/>
      <c r="R2" s="444" t="s">
        <v>96</v>
      </c>
      <c r="S2" s="452"/>
      <c r="T2" s="452"/>
      <c r="U2" s="452"/>
      <c r="V2" s="452"/>
      <c r="W2" s="445"/>
      <c r="X2" s="441" t="s">
        <v>258</v>
      </c>
      <c r="AJ2" s="440" t="s">
        <v>399</v>
      </c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</row>
    <row r="3" spans="9:49" ht="31.5" customHeight="1" thickTop="1" thickBot="1">
      <c r="I3" s="447" t="str">
        <f>R3</f>
        <v>29/12/93</v>
      </c>
      <c r="J3" s="446" t="str">
        <f>W3</f>
        <v>1/1/93</v>
      </c>
      <c r="K3" s="260"/>
      <c r="L3" s="451" t="str">
        <f>R3</f>
        <v>29/12/93</v>
      </c>
      <c r="M3" s="271"/>
      <c r="N3" s="449" t="s">
        <v>333</v>
      </c>
      <c r="O3" s="449" t="s">
        <v>332</v>
      </c>
      <c r="P3" s="450" t="str">
        <f>W3</f>
        <v>1/1/93</v>
      </c>
      <c r="Q3" s="261"/>
      <c r="R3" s="443" t="s">
        <v>398</v>
      </c>
      <c r="S3" s="442" t="s">
        <v>360</v>
      </c>
      <c r="T3" s="448" t="s">
        <v>333</v>
      </c>
      <c r="U3" s="278"/>
      <c r="V3" s="448" t="s">
        <v>332</v>
      </c>
      <c r="W3" s="443" t="s">
        <v>397</v>
      </c>
      <c r="X3" s="442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</row>
    <row r="4" spans="9:49" ht="27.75" thickTop="1" thickBot="1">
      <c r="I4" s="447"/>
      <c r="J4" s="446"/>
      <c r="K4" s="260"/>
      <c r="L4" s="451"/>
      <c r="M4" s="271"/>
      <c r="N4" s="449"/>
      <c r="O4" s="449"/>
      <c r="P4" s="450"/>
      <c r="Q4" s="261"/>
      <c r="R4" s="447"/>
      <c r="S4" s="443"/>
      <c r="T4" s="449"/>
      <c r="U4" s="271"/>
      <c r="V4" s="449"/>
      <c r="W4" s="447"/>
      <c r="X4" s="443"/>
      <c r="AJ4" s="277"/>
      <c r="AW4" s="259" t="s">
        <v>202</v>
      </c>
    </row>
    <row r="5" spans="9:49" ht="39" customHeight="1" thickTop="1" thickBot="1">
      <c r="I5" s="279">
        <f>R5-L5</f>
        <v>4332500000</v>
      </c>
      <c r="J5" s="262">
        <f>W5-P5</f>
        <v>4332500000</v>
      </c>
      <c r="K5" s="260"/>
      <c r="L5" s="280">
        <f>P5+O5-N5</f>
        <v>0</v>
      </c>
      <c r="M5" s="279"/>
      <c r="N5" s="279"/>
      <c r="O5" s="279"/>
      <c r="P5" s="262">
        <f>sheet2!Q40</f>
        <v>0</v>
      </c>
      <c r="Q5" s="260"/>
      <c r="R5" s="281">
        <f>W5+V5-T5+S5</f>
        <v>4332500000</v>
      </c>
      <c r="S5" s="281"/>
      <c r="T5" s="281"/>
      <c r="U5" s="281"/>
      <c r="V5" s="281"/>
      <c r="W5" s="281">
        <f>sheet2!U40</f>
        <v>4332500000</v>
      </c>
      <c r="X5" s="282" t="s">
        <v>85</v>
      </c>
      <c r="Z5" s="283" t="s">
        <v>257</v>
      </c>
      <c r="AA5" s="283" t="s">
        <v>109</v>
      </c>
      <c r="AB5" s="283" t="s">
        <v>108</v>
      </c>
      <c r="AC5" s="283" t="s">
        <v>107</v>
      </c>
      <c r="AD5" s="263" t="s">
        <v>258</v>
      </c>
      <c r="AF5" s="265" t="s">
        <v>99</v>
      </c>
      <c r="AG5" s="266" t="s">
        <v>98</v>
      </c>
      <c r="AH5" s="266" t="s">
        <v>258</v>
      </c>
      <c r="AJ5" s="258" t="s">
        <v>12</v>
      </c>
      <c r="AK5" s="258" t="s">
        <v>43</v>
      </c>
      <c r="AL5" s="258" t="s">
        <v>10</v>
      </c>
      <c r="AM5" s="258" t="s">
        <v>9</v>
      </c>
      <c r="AN5" s="258" t="s">
        <v>8</v>
      </c>
      <c r="AO5" s="258" t="s">
        <v>42</v>
      </c>
      <c r="AP5" s="258" t="s">
        <v>6</v>
      </c>
      <c r="AQ5" s="258" t="s">
        <v>5</v>
      </c>
      <c r="AR5" s="258" t="s">
        <v>4</v>
      </c>
      <c r="AS5" s="258" t="s">
        <v>201</v>
      </c>
      <c r="AT5" s="258" t="s">
        <v>2</v>
      </c>
      <c r="AU5" s="258" t="s">
        <v>1</v>
      </c>
      <c r="AV5" s="258" t="s">
        <v>41</v>
      </c>
      <c r="AW5" s="258" t="s">
        <v>95</v>
      </c>
    </row>
    <row r="6" spans="9:49" ht="27.75" thickTop="1" thickBot="1">
      <c r="I6" s="279">
        <f t="shared" ref="I6:I16" si="0">R6-L6</f>
        <v>9450000000</v>
      </c>
      <c r="J6" s="262">
        <f t="shared" ref="J6:J16" si="1">W6-P6</f>
        <v>9450000000</v>
      </c>
      <c r="K6" s="260"/>
      <c r="L6" s="280">
        <f t="shared" ref="L6:L16" si="2">P6+O6-N6</f>
        <v>1050000000</v>
      </c>
      <c r="M6" s="279"/>
      <c r="N6" s="279"/>
      <c r="O6" s="279"/>
      <c r="P6" s="262">
        <f>sheet2!Q41</f>
        <v>1050000000</v>
      </c>
      <c r="Q6" s="260"/>
      <c r="R6" s="281">
        <f t="shared" ref="R6:R14" si="3">W6+V6-T6+S6</f>
        <v>10500000000</v>
      </c>
      <c r="S6" s="281"/>
      <c r="T6" s="281"/>
      <c r="U6" s="281"/>
      <c r="V6" s="281"/>
      <c r="W6" s="281">
        <f>sheet2!U41</f>
        <v>10500000000</v>
      </c>
      <c r="X6" s="282" t="s">
        <v>86</v>
      </c>
      <c r="Z6" s="267">
        <f>SUM(AA6:AC6)</f>
        <v>100</v>
      </c>
      <c r="AA6" s="267">
        <v>5</v>
      </c>
      <c r="AB6" s="267">
        <v>90</v>
      </c>
      <c r="AC6" s="284">
        <v>5</v>
      </c>
      <c r="AD6" s="268" t="s">
        <v>86</v>
      </c>
      <c r="AF6" s="269" t="s">
        <v>101</v>
      </c>
      <c r="AG6" s="267" t="s">
        <v>100</v>
      </c>
      <c r="AH6" s="267" t="s">
        <v>86</v>
      </c>
      <c r="AJ6" s="285">
        <f>V5</f>
        <v>0</v>
      </c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 t="s">
        <v>85</v>
      </c>
    </row>
    <row r="7" spans="9:49" ht="27.75" thickTop="1" thickBot="1">
      <c r="I7" s="279">
        <f t="shared" si="0"/>
        <v>6160000000</v>
      </c>
      <c r="J7" s="262">
        <f t="shared" si="1"/>
        <v>6160000000</v>
      </c>
      <c r="K7" s="260"/>
      <c r="L7" s="280">
        <f t="shared" si="2"/>
        <v>840000000</v>
      </c>
      <c r="M7" s="279"/>
      <c r="N7" s="279"/>
      <c r="O7" s="279"/>
      <c r="P7" s="262">
        <f>sheet2!Q42</f>
        <v>840000000</v>
      </c>
      <c r="Q7" s="260"/>
      <c r="R7" s="281">
        <f t="shared" si="3"/>
        <v>7000000000</v>
      </c>
      <c r="S7" s="281"/>
      <c r="T7" s="281"/>
      <c r="U7" s="281"/>
      <c r="V7" s="281"/>
      <c r="W7" s="281">
        <f>sheet2!U42</f>
        <v>7000000000</v>
      </c>
      <c r="X7" s="282" t="s">
        <v>87</v>
      </c>
      <c r="Z7" s="267">
        <f t="shared" ref="Z7:Z11" si="4">SUM(AA7:AC7)</f>
        <v>100</v>
      </c>
      <c r="AA7" s="267">
        <v>3</v>
      </c>
      <c r="AB7" s="267">
        <v>94</v>
      </c>
      <c r="AC7" s="267">
        <v>3</v>
      </c>
      <c r="AD7" s="268" t="s">
        <v>87</v>
      </c>
      <c r="AF7" s="269" t="s">
        <v>103</v>
      </c>
      <c r="AG7" s="267" t="s">
        <v>102</v>
      </c>
      <c r="AH7" s="267" t="s">
        <v>87</v>
      </c>
      <c r="AJ7" s="285">
        <f t="shared" ref="AJ7:AJ12" si="5">V6</f>
        <v>0</v>
      </c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 t="s">
        <v>86</v>
      </c>
    </row>
    <row r="8" spans="9:49" ht="27.75" thickTop="1" thickBot="1">
      <c r="I8" s="279">
        <f t="shared" si="0"/>
        <v>20125000000</v>
      </c>
      <c r="J8" s="262">
        <f t="shared" si="1"/>
        <v>20125000000</v>
      </c>
      <c r="K8" s="260"/>
      <c r="L8" s="280">
        <f t="shared" si="2"/>
        <v>2875000000</v>
      </c>
      <c r="M8" s="279"/>
      <c r="N8" s="279"/>
      <c r="O8" s="279"/>
      <c r="P8" s="262">
        <f>sheet2!Q43</f>
        <v>2875000000</v>
      </c>
      <c r="Q8" s="260"/>
      <c r="R8" s="281">
        <f t="shared" si="3"/>
        <v>23000000000</v>
      </c>
      <c r="S8" s="281"/>
      <c r="T8" s="281"/>
      <c r="U8" s="281"/>
      <c r="V8" s="281"/>
      <c r="W8" s="281">
        <f>sheet2!U43</f>
        <v>23000000000</v>
      </c>
      <c r="X8" s="282" t="s">
        <v>88</v>
      </c>
      <c r="Z8" s="267">
        <f t="shared" si="4"/>
        <v>100</v>
      </c>
      <c r="AA8" s="267">
        <v>0</v>
      </c>
      <c r="AB8" s="267">
        <v>100</v>
      </c>
      <c r="AC8" s="267">
        <v>0</v>
      </c>
      <c r="AD8" s="268" t="s">
        <v>88</v>
      </c>
      <c r="AF8" s="269" t="s">
        <v>105</v>
      </c>
      <c r="AG8" s="267" t="s">
        <v>104</v>
      </c>
      <c r="AH8" s="267" t="s">
        <v>88</v>
      </c>
      <c r="AJ8" s="285">
        <f t="shared" si="5"/>
        <v>0</v>
      </c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 t="s">
        <v>87</v>
      </c>
    </row>
    <row r="9" spans="9:49" ht="27.75" thickTop="1" thickBot="1">
      <c r="I9" s="279">
        <f t="shared" si="0"/>
        <v>1170000000</v>
      </c>
      <c r="J9" s="262">
        <f t="shared" si="1"/>
        <v>1170000000</v>
      </c>
      <c r="K9" s="260"/>
      <c r="L9" s="280">
        <f t="shared" si="2"/>
        <v>130000000</v>
      </c>
      <c r="M9" s="279"/>
      <c r="N9" s="279"/>
      <c r="O9" s="279"/>
      <c r="P9" s="262">
        <f>sheet2!Q44</f>
        <v>130000000</v>
      </c>
      <c r="Q9" s="260"/>
      <c r="R9" s="281">
        <f t="shared" si="3"/>
        <v>1300000000</v>
      </c>
      <c r="S9" s="281"/>
      <c r="T9" s="281"/>
      <c r="U9" s="281"/>
      <c r="V9" s="281"/>
      <c r="W9" s="281">
        <f>sheet2!U44</f>
        <v>1300000000</v>
      </c>
      <c r="X9" s="282" t="s">
        <v>93</v>
      </c>
      <c r="Z9" s="267">
        <f t="shared" si="4"/>
        <v>100</v>
      </c>
      <c r="AA9" s="267">
        <v>30</v>
      </c>
      <c r="AB9" s="267">
        <v>20</v>
      </c>
      <c r="AC9" s="267">
        <v>50</v>
      </c>
      <c r="AD9" s="268" t="s">
        <v>93</v>
      </c>
      <c r="AF9" s="269" t="s">
        <v>101</v>
      </c>
      <c r="AG9" s="267" t="s">
        <v>100</v>
      </c>
      <c r="AH9" s="267" t="s">
        <v>93</v>
      </c>
      <c r="AJ9" s="285">
        <f t="shared" si="5"/>
        <v>0</v>
      </c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 t="s">
        <v>88</v>
      </c>
    </row>
    <row r="10" spans="9:49" ht="27.75" thickTop="1" thickBot="1">
      <c r="I10" s="279">
        <f t="shared" si="0"/>
        <v>1312500000</v>
      </c>
      <c r="J10" s="262">
        <f t="shared" si="1"/>
        <v>1312500000</v>
      </c>
      <c r="K10" s="260"/>
      <c r="L10" s="280">
        <f t="shared" si="2"/>
        <v>437500000</v>
      </c>
      <c r="M10" s="279"/>
      <c r="N10" s="279"/>
      <c r="O10" s="279"/>
      <c r="P10" s="262">
        <f>sheet2!Q45</f>
        <v>437500000</v>
      </c>
      <c r="Q10" s="260"/>
      <c r="R10" s="281">
        <f t="shared" si="3"/>
        <v>1750000000</v>
      </c>
      <c r="S10" s="281"/>
      <c r="T10" s="281"/>
      <c r="U10" s="281"/>
      <c r="V10" s="281"/>
      <c r="W10" s="281">
        <f>sheet2!U45</f>
        <v>1750000000</v>
      </c>
      <c r="X10" s="282" t="s">
        <v>89</v>
      </c>
      <c r="Z10" s="267">
        <f t="shared" si="4"/>
        <v>100</v>
      </c>
      <c r="AA10" s="267">
        <v>10</v>
      </c>
      <c r="AB10" s="267">
        <v>30</v>
      </c>
      <c r="AC10" s="267">
        <v>60</v>
      </c>
      <c r="AD10" s="268" t="s">
        <v>89</v>
      </c>
      <c r="AF10" s="269" t="s">
        <v>106</v>
      </c>
      <c r="AG10" s="267" t="s">
        <v>102</v>
      </c>
      <c r="AH10" s="267" t="s">
        <v>89</v>
      </c>
      <c r="AJ10" s="285">
        <f t="shared" si="5"/>
        <v>0</v>
      </c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 t="s">
        <v>93</v>
      </c>
    </row>
    <row r="11" spans="9:49" ht="27.75" thickTop="1" thickBot="1">
      <c r="I11" s="279">
        <f t="shared" si="0"/>
        <v>750000000</v>
      </c>
      <c r="J11" s="262">
        <f t="shared" si="1"/>
        <v>750000000</v>
      </c>
      <c r="K11" s="260"/>
      <c r="L11" s="280">
        <f t="shared" si="2"/>
        <v>250000000</v>
      </c>
      <c r="M11" s="286"/>
      <c r="N11" s="286"/>
      <c r="O11" s="286"/>
      <c r="P11" s="262">
        <f>sheet2!Q46</f>
        <v>250000000</v>
      </c>
      <c r="Q11" s="260"/>
      <c r="R11" s="281">
        <f t="shared" si="3"/>
        <v>1000000000</v>
      </c>
      <c r="S11" s="287"/>
      <c r="T11" s="287"/>
      <c r="U11" s="287"/>
      <c r="V11" s="287"/>
      <c r="W11" s="281">
        <f>sheet2!U46</f>
        <v>1000000000</v>
      </c>
      <c r="X11" s="288" t="s">
        <v>94</v>
      </c>
      <c r="Z11" s="267">
        <f t="shared" si="4"/>
        <v>100</v>
      </c>
      <c r="AA11" s="267">
        <v>5</v>
      </c>
      <c r="AB11" s="267">
        <v>90</v>
      </c>
      <c r="AC11" s="267">
        <v>5</v>
      </c>
      <c r="AD11" s="268" t="s">
        <v>94</v>
      </c>
      <c r="AF11" s="269" t="s">
        <v>106</v>
      </c>
      <c r="AG11" s="267" t="s">
        <v>102</v>
      </c>
      <c r="AH11" s="267" t="s">
        <v>94</v>
      </c>
      <c r="AJ11" s="285">
        <f t="shared" si="5"/>
        <v>0</v>
      </c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 t="s">
        <v>89</v>
      </c>
    </row>
    <row r="12" spans="9:49" ht="27.75" thickTop="1" thickBot="1">
      <c r="I12" s="271">
        <f t="shared" si="0"/>
        <v>43300000000</v>
      </c>
      <c r="J12" s="270">
        <f t="shared" si="1"/>
        <v>43300000000</v>
      </c>
      <c r="K12" s="260"/>
      <c r="L12" s="289">
        <f t="shared" si="2"/>
        <v>5582500000</v>
      </c>
      <c r="M12" s="290"/>
      <c r="N12" s="290">
        <f>SUM(N5:N11)</f>
        <v>0</v>
      </c>
      <c r="O12" s="290">
        <f>SUM(O5:O11)</f>
        <v>0</v>
      </c>
      <c r="P12" s="270">
        <f>sheet2!Q47</f>
        <v>5582500000</v>
      </c>
      <c r="Q12" s="260"/>
      <c r="R12" s="271">
        <f t="shared" ref="R12:U12" si="6">SUM(R5:R11)</f>
        <v>48882500000</v>
      </c>
      <c r="S12" s="271">
        <f t="shared" si="6"/>
        <v>0</v>
      </c>
      <c r="T12" s="271">
        <f t="shared" si="6"/>
        <v>0</v>
      </c>
      <c r="U12" s="271">
        <f t="shared" si="6"/>
        <v>0</v>
      </c>
      <c r="V12" s="271">
        <f>SUM(V5:V11)</f>
        <v>0</v>
      </c>
      <c r="W12" s="271">
        <f>sheet2!U47</f>
        <v>48882500000</v>
      </c>
      <c r="X12" s="290" t="s">
        <v>90</v>
      </c>
      <c r="AJ12" s="285">
        <f t="shared" si="5"/>
        <v>0</v>
      </c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 t="s">
        <v>94</v>
      </c>
    </row>
    <row r="13" spans="9:49" ht="42.75" customHeight="1" thickTop="1" thickBot="1">
      <c r="I13" s="279">
        <f t="shared" si="0"/>
        <v>2000000000</v>
      </c>
      <c r="J13" s="262">
        <f t="shared" si="1"/>
        <v>2000000000</v>
      </c>
      <c r="K13" s="260"/>
      <c r="L13" s="291"/>
      <c r="M13" s="291"/>
      <c r="N13" s="291"/>
      <c r="O13" s="291"/>
      <c r="P13" s="291"/>
      <c r="Q13" s="260"/>
      <c r="R13" s="281">
        <f t="shared" si="3"/>
        <v>2000000000</v>
      </c>
      <c r="S13" s="292"/>
      <c r="T13" s="292"/>
      <c r="U13" s="292"/>
      <c r="V13" s="292"/>
      <c r="W13" s="281">
        <f>sheet2!U48</f>
        <v>2000000000</v>
      </c>
      <c r="X13" s="293" t="s">
        <v>91</v>
      </c>
      <c r="Z13" s="283" t="s">
        <v>257</v>
      </c>
      <c r="AA13" s="283" t="s">
        <v>109</v>
      </c>
      <c r="AB13" s="283" t="s">
        <v>108</v>
      </c>
      <c r="AC13" s="283" t="s">
        <v>107</v>
      </c>
      <c r="AD13" s="263" t="s">
        <v>258</v>
      </c>
      <c r="AF13" s="272"/>
      <c r="AG13" s="272"/>
      <c r="AJ13" s="294">
        <f>SUM(AJ6:AJ12)</f>
        <v>0</v>
      </c>
      <c r="AK13" s="294">
        <f>SUM(AK6:AK12)</f>
        <v>0</v>
      </c>
      <c r="AL13" s="294">
        <f t="shared" ref="AL13:AV13" si="7">SUM(AL6:AL12)</f>
        <v>0</v>
      </c>
      <c r="AM13" s="294">
        <f t="shared" si="7"/>
        <v>0</v>
      </c>
      <c r="AN13" s="294">
        <f t="shared" si="7"/>
        <v>0</v>
      </c>
      <c r="AO13" s="294">
        <f t="shared" si="7"/>
        <v>0</v>
      </c>
      <c r="AP13" s="294">
        <f t="shared" si="7"/>
        <v>0</v>
      </c>
      <c r="AQ13" s="294">
        <f t="shared" si="7"/>
        <v>0</v>
      </c>
      <c r="AR13" s="294">
        <f t="shared" si="7"/>
        <v>0</v>
      </c>
      <c r="AS13" s="294">
        <f t="shared" si="7"/>
        <v>0</v>
      </c>
      <c r="AT13" s="294">
        <f t="shared" si="7"/>
        <v>0</v>
      </c>
      <c r="AU13" s="294">
        <f t="shared" si="7"/>
        <v>0</v>
      </c>
      <c r="AV13" s="294">
        <f t="shared" si="7"/>
        <v>0</v>
      </c>
      <c r="AW13" s="294" t="s">
        <v>90</v>
      </c>
    </row>
    <row r="14" spans="9:49" ht="27.75" thickTop="1" thickBot="1">
      <c r="I14" s="279">
        <f t="shared" si="0"/>
        <v>100000000</v>
      </c>
      <c r="J14" s="262">
        <f t="shared" si="1"/>
        <v>100000000</v>
      </c>
      <c r="K14" s="260"/>
      <c r="L14" s="295"/>
      <c r="M14" s="295"/>
      <c r="N14" s="295"/>
      <c r="O14" s="295"/>
      <c r="P14" s="295"/>
      <c r="Q14" s="260"/>
      <c r="R14" s="281">
        <f t="shared" si="3"/>
        <v>100000000</v>
      </c>
      <c r="S14" s="281"/>
      <c r="T14" s="281"/>
      <c r="U14" s="281"/>
      <c r="V14" s="281"/>
      <c r="W14" s="281">
        <f>sheet2!U49</f>
        <v>100000000</v>
      </c>
      <c r="X14" s="282" t="s">
        <v>92</v>
      </c>
      <c r="Z14" s="267">
        <f>O6</f>
        <v>0</v>
      </c>
      <c r="AA14" s="267">
        <f>Z14*AA6%</f>
        <v>0</v>
      </c>
      <c r="AB14" s="267">
        <f>Z14*AB6%</f>
        <v>0</v>
      </c>
      <c r="AC14" s="267">
        <f>Z14*AC6%</f>
        <v>0</v>
      </c>
      <c r="AD14" s="268" t="s">
        <v>86</v>
      </c>
      <c r="AF14" s="277"/>
      <c r="AG14" s="277"/>
      <c r="AJ14" s="285">
        <f>V13</f>
        <v>0</v>
      </c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 t="s">
        <v>91</v>
      </c>
    </row>
    <row r="15" spans="9:49" ht="27.75" thickTop="1" thickBot="1">
      <c r="I15" s="271">
        <f t="shared" si="0"/>
        <v>2100000000</v>
      </c>
      <c r="J15" s="270">
        <f t="shared" si="1"/>
        <v>2100000000</v>
      </c>
      <c r="K15" s="260"/>
      <c r="L15" s="289">
        <f t="shared" si="2"/>
        <v>0</v>
      </c>
      <c r="M15" s="271">
        <v>0</v>
      </c>
      <c r="N15" s="271">
        <v>0</v>
      </c>
      <c r="O15" s="271">
        <v>0</v>
      </c>
      <c r="P15" s="270">
        <f>sheet2!Q50</f>
        <v>0</v>
      </c>
      <c r="Q15" s="260"/>
      <c r="R15" s="271">
        <f t="shared" ref="R15:U15" si="8">SUM(R13:R14)</f>
        <v>2100000000</v>
      </c>
      <c r="S15" s="271">
        <f t="shared" si="8"/>
        <v>0</v>
      </c>
      <c r="T15" s="271">
        <f t="shared" si="8"/>
        <v>0</v>
      </c>
      <c r="U15" s="271">
        <f t="shared" si="8"/>
        <v>0</v>
      </c>
      <c r="V15" s="271">
        <f>SUM(V13:V14)</f>
        <v>0</v>
      </c>
      <c r="W15" s="271">
        <f>sheet2!U50</f>
        <v>2100000000</v>
      </c>
      <c r="X15" s="296" t="s">
        <v>260</v>
      </c>
      <c r="Z15" s="267">
        <f t="shared" ref="Z15:Z19" si="9">O7</f>
        <v>0</v>
      </c>
      <c r="AA15" s="267">
        <f t="shared" ref="AA15:AA19" si="10">Z15*AA7%</f>
        <v>0</v>
      </c>
      <c r="AB15" s="267">
        <f t="shared" ref="AB15:AB19" si="11">Z15*AB7%</f>
        <v>0</v>
      </c>
      <c r="AC15" s="267">
        <f t="shared" ref="AC15:AC19" si="12">Z15*AC7%</f>
        <v>0</v>
      </c>
      <c r="AD15" s="268" t="s">
        <v>87</v>
      </c>
      <c r="AF15" s="277"/>
      <c r="AG15" s="277"/>
      <c r="AJ15" s="285">
        <f>V14</f>
        <v>0</v>
      </c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 t="s">
        <v>92</v>
      </c>
    </row>
    <row r="16" spans="9:49" ht="46.5" customHeight="1" thickTop="1" thickBot="1">
      <c r="I16" s="279">
        <f t="shared" si="0"/>
        <v>45400000000</v>
      </c>
      <c r="J16" s="262">
        <f t="shared" si="1"/>
        <v>45400000000</v>
      </c>
      <c r="K16" s="260"/>
      <c r="L16" s="280">
        <f t="shared" si="2"/>
        <v>5582500000</v>
      </c>
      <c r="M16" s="279">
        <f t="shared" ref="M16:N16" si="13">M12+M15</f>
        <v>0</v>
      </c>
      <c r="N16" s="279">
        <f t="shared" si="13"/>
        <v>0</v>
      </c>
      <c r="O16" s="279">
        <f>O12+O15</f>
        <v>0</v>
      </c>
      <c r="P16" s="262">
        <f>sheet2!Q51</f>
        <v>5582500000</v>
      </c>
      <c r="Q16" s="260"/>
      <c r="R16" s="297">
        <f t="shared" ref="R16:U16" si="14">R15+R12</f>
        <v>50982500000</v>
      </c>
      <c r="S16" s="297">
        <f t="shared" si="14"/>
        <v>0</v>
      </c>
      <c r="T16" s="297">
        <f t="shared" si="14"/>
        <v>0</v>
      </c>
      <c r="U16" s="297">
        <f t="shared" si="14"/>
        <v>0</v>
      </c>
      <c r="V16" s="297">
        <f>V15+V12</f>
        <v>0</v>
      </c>
      <c r="W16" s="281">
        <f>sheet2!U51</f>
        <v>50982500000</v>
      </c>
      <c r="X16" s="298" t="s">
        <v>44</v>
      </c>
      <c r="Z16" s="267">
        <f t="shared" si="9"/>
        <v>0</v>
      </c>
      <c r="AA16" s="267">
        <f t="shared" si="10"/>
        <v>0</v>
      </c>
      <c r="AB16" s="267">
        <f t="shared" si="11"/>
        <v>0</v>
      </c>
      <c r="AC16" s="267">
        <f t="shared" si="12"/>
        <v>0</v>
      </c>
      <c r="AD16" s="268" t="s">
        <v>88</v>
      </c>
      <c r="AF16" s="277"/>
      <c r="AG16" s="277"/>
      <c r="AJ16" s="299">
        <f>SUM(AJ14:AJ15)</f>
        <v>0</v>
      </c>
      <c r="AK16" s="299">
        <f t="shared" ref="AK16:AU16" si="15">SUM(AK14:AK15)</f>
        <v>0</v>
      </c>
      <c r="AL16" s="299">
        <f t="shared" si="15"/>
        <v>0</v>
      </c>
      <c r="AM16" s="299">
        <f t="shared" si="15"/>
        <v>0</v>
      </c>
      <c r="AN16" s="299">
        <f t="shared" si="15"/>
        <v>0</v>
      </c>
      <c r="AO16" s="299">
        <f t="shared" si="15"/>
        <v>0</v>
      </c>
      <c r="AP16" s="299">
        <f t="shared" si="15"/>
        <v>0</v>
      </c>
      <c r="AQ16" s="299">
        <f t="shared" si="15"/>
        <v>0</v>
      </c>
      <c r="AR16" s="299">
        <f t="shared" si="15"/>
        <v>0</v>
      </c>
      <c r="AS16" s="299">
        <f t="shared" si="15"/>
        <v>0</v>
      </c>
      <c r="AT16" s="299">
        <f t="shared" si="15"/>
        <v>0</v>
      </c>
      <c r="AU16" s="299">
        <f t="shared" si="15"/>
        <v>0</v>
      </c>
      <c r="AV16" s="299">
        <f>SUM(AV14:AV15)</f>
        <v>0</v>
      </c>
      <c r="AW16" s="299" t="s">
        <v>271</v>
      </c>
    </row>
    <row r="17" spans="16:49" ht="54" customHeight="1" thickTop="1" thickBot="1">
      <c r="P17" s="272"/>
      <c r="Q17" s="272"/>
      <c r="R17" s="272"/>
      <c r="S17" s="272"/>
      <c r="T17" s="272"/>
      <c r="U17" s="272"/>
      <c r="V17" s="272"/>
      <c r="W17" s="272"/>
      <c r="X17" s="272"/>
      <c r="Z17" s="267">
        <f t="shared" si="9"/>
        <v>0</v>
      </c>
      <c r="AA17" s="267">
        <f t="shared" si="10"/>
        <v>0</v>
      </c>
      <c r="AB17" s="267">
        <f t="shared" si="11"/>
        <v>0</v>
      </c>
      <c r="AC17" s="267">
        <f t="shared" si="12"/>
        <v>0</v>
      </c>
      <c r="AD17" s="268" t="s">
        <v>93</v>
      </c>
      <c r="AF17" s="277"/>
      <c r="AG17" s="277"/>
      <c r="AJ17" s="258">
        <f>AJ13+AJ16</f>
        <v>0</v>
      </c>
      <c r="AK17" s="258">
        <f t="shared" ref="AK17:AU17" si="16">AK16+AK13</f>
        <v>0</v>
      </c>
      <c r="AL17" s="258">
        <f t="shared" si="16"/>
        <v>0</v>
      </c>
      <c r="AM17" s="258">
        <f t="shared" si="16"/>
        <v>0</v>
      </c>
      <c r="AN17" s="258">
        <f t="shared" si="16"/>
        <v>0</v>
      </c>
      <c r="AO17" s="258">
        <f t="shared" si="16"/>
        <v>0</v>
      </c>
      <c r="AP17" s="258">
        <f t="shared" si="16"/>
        <v>0</v>
      </c>
      <c r="AQ17" s="258">
        <f t="shared" si="16"/>
        <v>0</v>
      </c>
      <c r="AR17" s="258">
        <f t="shared" si="16"/>
        <v>0</v>
      </c>
      <c r="AS17" s="258">
        <f t="shared" si="16"/>
        <v>0</v>
      </c>
      <c r="AT17" s="258">
        <f t="shared" si="16"/>
        <v>0</v>
      </c>
      <c r="AU17" s="258">
        <f t="shared" si="16"/>
        <v>0</v>
      </c>
      <c r="AV17" s="258">
        <f>AV16+AV13</f>
        <v>0</v>
      </c>
      <c r="AW17" s="258" t="s">
        <v>272</v>
      </c>
    </row>
    <row r="18" spans="16:49" ht="27.75" thickTop="1" thickBot="1">
      <c r="P18" s="272"/>
      <c r="Q18" s="272"/>
      <c r="R18" s="272"/>
      <c r="S18" s="272"/>
      <c r="T18" s="300"/>
      <c r="U18" s="272"/>
      <c r="V18" s="272"/>
      <c r="W18" s="272"/>
      <c r="X18" s="272"/>
      <c r="Z18" s="267">
        <f t="shared" si="9"/>
        <v>0</v>
      </c>
      <c r="AA18" s="267">
        <f t="shared" si="10"/>
        <v>0</v>
      </c>
      <c r="AB18" s="267">
        <f t="shared" si="11"/>
        <v>0</v>
      </c>
      <c r="AC18" s="267">
        <f t="shared" si="12"/>
        <v>0</v>
      </c>
      <c r="AD18" s="268" t="s">
        <v>89</v>
      </c>
      <c r="AF18" s="277"/>
      <c r="AG18" s="277"/>
    </row>
    <row r="19" spans="16:49" ht="27.75" thickTop="1" thickBot="1">
      <c r="P19" s="272"/>
      <c r="Q19" s="272"/>
      <c r="R19" s="272"/>
      <c r="S19" s="272"/>
      <c r="T19" s="272"/>
      <c r="U19" s="272"/>
      <c r="V19" s="272"/>
      <c r="W19" s="272"/>
      <c r="X19" s="272"/>
      <c r="Z19" s="267">
        <f t="shared" si="9"/>
        <v>0</v>
      </c>
      <c r="AA19" s="267">
        <f t="shared" si="10"/>
        <v>0</v>
      </c>
      <c r="AB19" s="267">
        <f t="shared" si="11"/>
        <v>0</v>
      </c>
      <c r="AC19" s="267">
        <f t="shared" si="12"/>
        <v>0</v>
      </c>
      <c r="AD19" s="267" t="s">
        <v>331</v>
      </c>
      <c r="AE19" s="273"/>
      <c r="AF19" s="277"/>
      <c r="AG19" s="277"/>
    </row>
    <row r="20" spans="16:49" ht="45" customHeight="1" thickTop="1" thickBot="1">
      <c r="P20" s="272"/>
      <c r="Q20" s="272"/>
      <c r="R20" s="272"/>
      <c r="S20" s="272"/>
      <c r="T20" s="272"/>
      <c r="U20" s="272"/>
      <c r="V20" s="272"/>
      <c r="W20" s="272"/>
      <c r="X20" s="272"/>
      <c r="Z20" s="301">
        <f>SUM(Z14:Z19)</f>
        <v>0</v>
      </c>
      <c r="AA20" s="301">
        <f t="shared" ref="AA20:AB20" si="17">SUM(AA14:AA19)</f>
        <v>0</v>
      </c>
      <c r="AB20" s="301">
        <f t="shared" si="17"/>
        <v>0</v>
      </c>
      <c r="AC20" s="301">
        <f>SUM(AC14:AC19)</f>
        <v>0</v>
      </c>
      <c r="AD20" s="262" t="s">
        <v>12</v>
      </c>
    </row>
    <row r="21" spans="16:49" ht="27" thickTop="1">
      <c r="P21" s="272"/>
      <c r="Q21" s="272"/>
      <c r="R21" s="272"/>
      <c r="S21" s="272"/>
      <c r="T21" s="272"/>
      <c r="U21" s="272"/>
      <c r="V21" s="272"/>
      <c r="W21" s="272"/>
      <c r="X21" s="272"/>
    </row>
  </sheetData>
  <mergeCells count="16">
    <mergeCell ref="AJ2:AW3"/>
    <mergeCell ref="X2:X4"/>
    <mergeCell ref="I2:J2"/>
    <mergeCell ref="J3:J4"/>
    <mergeCell ref="I3:I4"/>
    <mergeCell ref="V3:V4"/>
    <mergeCell ref="T3:T4"/>
    <mergeCell ref="O3:O4"/>
    <mergeCell ref="P3:P4"/>
    <mergeCell ref="R3:R4"/>
    <mergeCell ref="N3:N4"/>
    <mergeCell ref="L3:L4"/>
    <mergeCell ref="L2:P2"/>
    <mergeCell ref="R2:W2"/>
    <mergeCell ref="W3:W4"/>
    <mergeCell ref="S3:S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O40"/>
  <sheetViews>
    <sheetView topLeftCell="F27" zoomScale="60" zoomScaleNormal="60" workbookViewId="0">
      <selection activeCell="I43" sqref="I43"/>
    </sheetView>
  </sheetViews>
  <sheetFormatPr defaultColWidth="9.125" defaultRowHeight="33.75"/>
  <cols>
    <col min="1" max="4" width="9.125" style="24"/>
    <col min="5" max="5" width="9.125" style="24" customWidth="1"/>
    <col min="6" max="6" width="9.125" style="24"/>
    <col min="7" max="7" width="0.875" style="24" customWidth="1"/>
    <col min="8" max="8" width="82.75" style="24" bestFit="1" customWidth="1"/>
    <col min="9" max="9" width="32.75" style="24" bestFit="1" customWidth="1"/>
    <col min="10" max="10" width="39.75" style="166" bestFit="1" customWidth="1"/>
    <col min="11" max="11" width="65.875" style="35" bestFit="1" customWidth="1"/>
    <col min="12" max="12" width="3.25" style="24" bestFit="1" customWidth="1"/>
    <col min="13" max="13" width="9.125" style="24"/>
    <col min="14" max="14" width="14.375" style="24" bestFit="1" customWidth="1"/>
    <col min="15" max="15" width="49" style="24" bestFit="1" customWidth="1"/>
    <col min="16" max="16384" width="9.125" style="24"/>
  </cols>
  <sheetData>
    <row r="2" spans="8:15" thickBot="1">
      <c r="H2" s="23"/>
      <c r="I2" s="23"/>
      <c r="J2" s="161"/>
    </row>
    <row r="3" spans="8:15" ht="39" customHeight="1">
      <c r="H3" s="467" t="s">
        <v>110</v>
      </c>
      <c r="I3" s="468"/>
      <c r="J3" s="468"/>
      <c r="K3" s="469"/>
      <c r="N3" s="471" t="s">
        <v>467</v>
      </c>
      <c r="O3" s="472"/>
    </row>
    <row r="4" spans="8:15" thickBot="1">
      <c r="H4" s="464" t="s">
        <v>377</v>
      </c>
      <c r="I4" s="465"/>
      <c r="J4" s="465"/>
      <c r="K4" s="466"/>
      <c r="N4" s="473"/>
      <c r="O4" s="474"/>
    </row>
    <row r="5" spans="8:15" ht="34.5" thickBot="1">
      <c r="H5" s="40"/>
      <c r="I5" s="41"/>
      <c r="J5" s="162" t="s">
        <v>408</v>
      </c>
      <c r="K5" s="42"/>
      <c r="N5" s="475" t="s">
        <v>462</v>
      </c>
      <c r="O5" s="476"/>
    </row>
    <row r="6" spans="8:15" ht="34.5" thickBot="1">
      <c r="H6" s="34" t="s">
        <v>111</v>
      </c>
      <c r="I6" s="34" t="s">
        <v>112</v>
      </c>
      <c r="J6" s="348"/>
      <c r="K6" s="39" t="s">
        <v>113</v>
      </c>
      <c r="N6" s="477"/>
      <c r="O6" s="478"/>
    </row>
    <row r="7" spans="8:15" ht="34.5" thickBot="1">
      <c r="H7" s="34" t="s">
        <v>114</v>
      </c>
      <c r="I7" s="34"/>
      <c r="J7" s="163"/>
      <c r="K7" s="39" t="s">
        <v>115</v>
      </c>
      <c r="N7" s="477"/>
      <c r="O7" s="478"/>
    </row>
    <row r="8" spans="8:15" ht="34.5" thickBot="1">
      <c r="H8" s="34" t="s">
        <v>116</v>
      </c>
      <c r="I8" s="34" t="s">
        <v>117</v>
      </c>
      <c r="J8" s="163"/>
      <c r="K8" s="39" t="s">
        <v>118</v>
      </c>
      <c r="N8" s="477"/>
      <c r="O8" s="478"/>
    </row>
    <row r="9" spans="8:15" ht="34.5" thickBot="1">
      <c r="H9" s="34" t="s">
        <v>119</v>
      </c>
      <c r="I9" s="34" t="s">
        <v>120</v>
      </c>
      <c r="J9" s="163"/>
      <c r="K9" s="39" t="s">
        <v>121</v>
      </c>
      <c r="N9" s="477"/>
      <c r="O9" s="478"/>
    </row>
    <row r="10" spans="8:15" ht="34.5" thickBot="1">
      <c r="H10" s="34" t="s">
        <v>122</v>
      </c>
      <c r="I10" s="34" t="s">
        <v>123</v>
      </c>
      <c r="J10" s="348">
        <f>J6-J8-J9</f>
        <v>0</v>
      </c>
      <c r="K10" s="39" t="s">
        <v>124</v>
      </c>
      <c r="N10" s="477"/>
      <c r="O10" s="478"/>
    </row>
    <row r="11" spans="8:15" ht="34.5" thickBot="1">
      <c r="H11" s="34" t="s">
        <v>125</v>
      </c>
      <c r="I11" s="34"/>
      <c r="J11" s="163"/>
      <c r="K11" s="39" t="s">
        <v>115</v>
      </c>
      <c r="N11" s="479"/>
      <c r="O11" s="480"/>
    </row>
    <row r="12" spans="8:15" ht="34.5" thickBot="1">
      <c r="H12" s="34" t="s">
        <v>126</v>
      </c>
      <c r="I12" s="34" t="s">
        <v>127</v>
      </c>
      <c r="J12" s="164"/>
      <c r="K12" s="39" t="s">
        <v>263</v>
      </c>
      <c r="N12" s="345" t="e">
        <f>J12/J10*100</f>
        <v>#DIV/0!</v>
      </c>
      <c r="O12" s="346" t="s">
        <v>468</v>
      </c>
    </row>
    <row r="13" spans="8:15" ht="34.5" thickBot="1">
      <c r="H13" s="34" t="s">
        <v>128</v>
      </c>
      <c r="I13" s="34" t="s">
        <v>129</v>
      </c>
      <c r="J13" s="348">
        <f>J10-J12</f>
        <v>0</v>
      </c>
      <c r="K13" s="39" t="s">
        <v>130</v>
      </c>
      <c r="N13" s="347" t="e">
        <f>J13/J10*100</f>
        <v>#DIV/0!</v>
      </c>
      <c r="O13" s="346" t="s">
        <v>463</v>
      </c>
    </row>
    <row r="14" spans="8:15" ht="34.5" thickBot="1">
      <c r="H14" s="34" t="s">
        <v>125</v>
      </c>
      <c r="I14" s="34"/>
      <c r="J14" s="163"/>
      <c r="K14" s="39" t="s">
        <v>115</v>
      </c>
      <c r="N14" s="453"/>
      <c r="O14" s="454"/>
    </row>
    <row r="15" spans="8:15" ht="34.5" thickBot="1">
      <c r="H15" s="34" t="s">
        <v>330</v>
      </c>
      <c r="I15" s="34" t="s">
        <v>131</v>
      </c>
      <c r="J15" s="165"/>
      <c r="K15" s="39" t="s">
        <v>132</v>
      </c>
      <c r="L15" s="470"/>
      <c r="N15" s="455"/>
      <c r="O15" s="456"/>
    </row>
    <row r="16" spans="8:15" ht="34.5" thickBot="1">
      <c r="H16" s="34" t="s">
        <v>133</v>
      </c>
      <c r="I16" s="34" t="s">
        <v>134</v>
      </c>
      <c r="J16" s="165"/>
      <c r="K16" s="39" t="s">
        <v>135</v>
      </c>
      <c r="L16" s="470"/>
      <c r="N16" s="455"/>
      <c r="O16" s="456"/>
    </row>
    <row r="17" spans="8:15" ht="34.5" thickBot="1">
      <c r="H17" s="34"/>
      <c r="I17" s="34"/>
      <c r="J17" s="165"/>
      <c r="K17" s="39" t="s">
        <v>459</v>
      </c>
      <c r="L17" s="343" t="s">
        <v>461</v>
      </c>
      <c r="N17" s="457"/>
      <c r="O17" s="458"/>
    </row>
    <row r="18" spans="8:15" ht="34.5" thickBot="1">
      <c r="H18" s="34" t="s">
        <v>136</v>
      </c>
      <c r="I18" s="34" t="s">
        <v>137</v>
      </c>
      <c r="J18" s="348">
        <f>J13-J15-J16-J17</f>
        <v>0</v>
      </c>
      <c r="K18" s="39" t="s">
        <v>138</v>
      </c>
      <c r="N18" s="347" t="e">
        <f>J18/J10*100</f>
        <v>#DIV/0!</v>
      </c>
      <c r="O18" s="346" t="s">
        <v>464</v>
      </c>
    </row>
    <row r="19" spans="8:15" ht="34.5" thickBot="1">
      <c r="H19" s="34" t="s">
        <v>139</v>
      </c>
      <c r="I19" s="34"/>
      <c r="J19" s="163"/>
      <c r="K19" s="39" t="s">
        <v>140</v>
      </c>
      <c r="N19" s="453"/>
      <c r="O19" s="454"/>
    </row>
    <row r="20" spans="8:15" ht="34.5" thickBot="1">
      <c r="H20" s="34" t="s">
        <v>328</v>
      </c>
      <c r="I20" s="34" t="s">
        <v>141</v>
      </c>
      <c r="J20" s="163">
        <f>'گردش جریان وجه نقد'!D23</f>
        <v>2371969910.9731064</v>
      </c>
      <c r="K20" s="39" t="s">
        <v>142</v>
      </c>
      <c r="N20" s="455"/>
      <c r="O20" s="456"/>
    </row>
    <row r="21" spans="8:15" ht="34.5" thickBot="1">
      <c r="H21" s="34" t="s">
        <v>143</v>
      </c>
      <c r="I21" s="34"/>
      <c r="J21" s="163"/>
      <c r="K21" s="39" t="s">
        <v>144</v>
      </c>
      <c r="N21" s="455"/>
      <c r="O21" s="456"/>
    </row>
    <row r="22" spans="8:15" ht="47.25" thickBot="1">
      <c r="H22" s="36" t="s">
        <v>329</v>
      </c>
      <c r="I22" s="34" t="s">
        <v>145</v>
      </c>
      <c r="J22" s="163">
        <f>'گردش جریان وجه نقد'!D10</f>
        <v>250000000.00000003</v>
      </c>
      <c r="K22" s="37" t="s">
        <v>146</v>
      </c>
      <c r="L22" s="24" t="s">
        <v>460</v>
      </c>
      <c r="N22" s="457"/>
      <c r="O22" s="458"/>
    </row>
    <row r="23" spans="8:15" ht="34.5" thickBot="1">
      <c r="H23" s="34" t="s">
        <v>147</v>
      </c>
      <c r="I23" s="34" t="s">
        <v>148</v>
      </c>
      <c r="J23" s="348">
        <f>J18-J20+J22</f>
        <v>-2121969910.9731064</v>
      </c>
      <c r="K23" s="38" t="s">
        <v>149</v>
      </c>
      <c r="N23" s="347" t="e">
        <f>J23/J10*100</f>
        <v>#DIV/0!</v>
      </c>
      <c r="O23" s="346" t="s">
        <v>465</v>
      </c>
    </row>
    <row r="24" spans="8:15" ht="34.5" thickBot="1">
      <c r="H24" s="34" t="s">
        <v>150</v>
      </c>
      <c r="I24" s="34" t="s">
        <v>151</v>
      </c>
      <c r="J24" s="163">
        <f>(J18-J20)*25%</f>
        <v>-592992477.7432766</v>
      </c>
      <c r="K24" s="38" t="s">
        <v>152</v>
      </c>
      <c r="N24" s="459"/>
      <c r="O24" s="460"/>
    </row>
    <row r="25" spans="8:15" ht="34.5" thickBot="1">
      <c r="H25" s="34" t="s">
        <v>153</v>
      </c>
      <c r="I25" s="34" t="s">
        <v>154</v>
      </c>
      <c r="J25" s="348">
        <f>J23-J24</f>
        <v>-1528977433.2298298</v>
      </c>
      <c r="K25" s="38" t="s">
        <v>155</v>
      </c>
      <c r="N25" s="347" t="e">
        <f>J25/J10*100</f>
        <v>#DIV/0!</v>
      </c>
      <c r="O25" s="346" t="s">
        <v>466</v>
      </c>
    </row>
    <row r="26" spans="8:15" ht="68.25" customHeight="1" thickBot="1">
      <c r="N26" s="344">
        <f>J25/((ترازنامه!R32+ترازنامه!Q32)/2)</f>
        <v>-2.9757344288217816E-2</v>
      </c>
      <c r="O26" s="356" t="s">
        <v>479</v>
      </c>
    </row>
    <row r="27" spans="8:15" ht="59.25" customHeight="1" thickBot="1">
      <c r="H27" s="461" t="s">
        <v>469</v>
      </c>
      <c r="I27" s="462"/>
      <c r="J27" s="462"/>
      <c r="K27" s="463"/>
      <c r="N27" s="344" t="e">
        <f ca="1">J25((ترازنامه!K30+ترازنامه!L30)/2)</f>
        <v>#REF!</v>
      </c>
      <c r="O27" s="356" t="s">
        <v>480</v>
      </c>
    </row>
    <row r="28" spans="8:15" ht="63" customHeight="1" thickBot="1">
      <c r="H28" s="340"/>
      <c r="I28" s="354" t="s">
        <v>470</v>
      </c>
      <c r="J28" s="354" t="s">
        <v>470</v>
      </c>
      <c r="K28" s="350"/>
      <c r="N28" s="344">
        <f>J25/ترازنامه!K27/1000</f>
        <v>-5.5078437796463609E-5</v>
      </c>
      <c r="O28" s="344" t="s">
        <v>481</v>
      </c>
    </row>
    <row r="29" spans="8:15">
      <c r="H29" s="340"/>
      <c r="I29" s="349"/>
      <c r="J29" s="349">
        <f>ترازنامه!L28</f>
        <v>4781250000</v>
      </c>
      <c r="K29" s="179" t="s">
        <v>472</v>
      </c>
    </row>
    <row r="30" spans="8:15" ht="34.5" thickBot="1">
      <c r="H30" s="340"/>
      <c r="I30" s="349"/>
      <c r="J30" s="352"/>
      <c r="K30" s="179" t="s">
        <v>471</v>
      </c>
    </row>
    <row r="31" spans="8:15">
      <c r="H31" s="340"/>
      <c r="I31" s="349">
        <f>J29+J30</f>
        <v>4781250000</v>
      </c>
      <c r="J31" s="349"/>
      <c r="K31" s="179" t="s">
        <v>473</v>
      </c>
    </row>
    <row r="32" spans="8:15">
      <c r="H32" s="340"/>
      <c r="I32" s="349"/>
      <c r="J32" s="354"/>
      <c r="K32" s="179"/>
    </row>
    <row r="33" spans="8:11">
      <c r="H33" s="340"/>
      <c r="I33" s="349"/>
      <c r="J33" s="349">
        <f>J25</f>
        <v>-1528977433.2298298</v>
      </c>
      <c r="K33" s="350" t="s">
        <v>474</v>
      </c>
    </row>
    <row r="34" spans="8:11">
      <c r="H34" s="340"/>
      <c r="I34" s="349"/>
      <c r="J34" s="349">
        <f>J33*5%</f>
        <v>-76448871.661491498</v>
      </c>
      <c r="K34" s="350" t="s">
        <v>475</v>
      </c>
    </row>
    <row r="35" spans="8:11">
      <c r="H35" s="340"/>
      <c r="I35" s="349"/>
      <c r="J35" s="349">
        <f>J33*10%</f>
        <v>-152897743.322983</v>
      </c>
      <c r="K35" s="350" t="s">
        <v>500</v>
      </c>
    </row>
    <row r="36" spans="8:11" ht="34.5" thickBot="1">
      <c r="H36" s="340"/>
      <c r="I36" s="349"/>
      <c r="J36" s="352"/>
      <c r="K36" s="350" t="s">
        <v>476</v>
      </c>
    </row>
    <row r="37" spans="8:11" ht="34.5" thickBot="1">
      <c r="H37" s="340"/>
      <c r="I37" s="352">
        <f>J33-J34-J35-J36</f>
        <v>-1299630818.2453554</v>
      </c>
      <c r="J37" s="349"/>
      <c r="K37" s="350" t="s">
        <v>477</v>
      </c>
    </row>
    <row r="38" spans="8:11" ht="34.5" thickBot="1">
      <c r="H38" s="340"/>
      <c r="I38" s="355">
        <f>SUM(I31:I37)</f>
        <v>3481619181.7546444</v>
      </c>
      <c r="J38" s="349"/>
      <c r="K38" s="350" t="s">
        <v>478</v>
      </c>
    </row>
    <row r="39" spans="8:11" ht="34.5" thickTop="1">
      <c r="H39" s="340"/>
      <c r="I39" s="349"/>
      <c r="J39" s="349"/>
      <c r="K39" s="350"/>
    </row>
    <row r="40" spans="8:11" ht="34.5" thickBot="1">
      <c r="H40" s="351"/>
      <c r="I40" s="352"/>
      <c r="J40" s="352"/>
      <c r="K40" s="353"/>
    </row>
  </sheetData>
  <mergeCells count="9">
    <mergeCell ref="N19:O22"/>
    <mergeCell ref="N24:O24"/>
    <mergeCell ref="H27:K27"/>
    <mergeCell ref="H4:K4"/>
    <mergeCell ref="H3:K3"/>
    <mergeCell ref="L15:L16"/>
    <mergeCell ref="N3:O4"/>
    <mergeCell ref="N5:O11"/>
    <mergeCell ref="N14:O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:V45"/>
  <sheetViews>
    <sheetView tabSelected="1" topLeftCell="K31" zoomScale="50" zoomScaleNormal="50" workbookViewId="0">
      <selection activeCell="K28" sqref="K28"/>
    </sheetView>
  </sheetViews>
  <sheetFormatPr defaultColWidth="9.125" defaultRowHeight="30"/>
  <cols>
    <col min="1" max="6" width="9.125" style="359"/>
    <col min="7" max="7" width="9.125" style="359" customWidth="1"/>
    <col min="8" max="8" width="32" style="359" bestFit="1" customWidth="1"/>
    <col min="9" max="10" width="9.125" style="359"/>
    <col min="11" max="11" width="54.875" style="359" bestFit="1" customWidth="1"/>
    <col min="12" max="12" width="58.375" style="359" bestFit="1" customWidth="1"/>
    <col min="13" max="13" width="2.375" style="359" customWidth="1"/>
    <col min="14" max="14" width="13.375" style="359" bestFit="1" customWidth="1"/>
    <col min="15" max="15" width="53.375" style="360" bestFit="1" customWidth="1"/>
    <col min="16" max="16" width="1.75" style="360" customWidth="1"/>
    <col min="17" max="17" width="43.25" style="360" bestFit="1" customWidth="1"/>
    <col min="18" max="18" width="36.25" style="359" bestFit="1" customWidth="1"/>
    <col min="19" max="19" width="2.25" style="359" customWidth="1"/>
    <col min="20" max="20" width="13.375" style="359" bestFit="1" customWidth="1"/>
    <col min="21" max="21" width="52" style="361" bestFit="1" customWidth="1"/>
    <col min="22" max="22" width="14.125" style="359" customWidth="1"/>
    <col min="23" max="16384" width="9.125" style="359"/>
  </cols>
  <sheetData>
    <row r="1" spans="10:22" ht="30.75" thickBot="1">
      <c r="R1" s="359" t="s">
        <v>204</v>
      </c>
    </row>
    <row r="2" spans="10:22" ht="30.75" thickTop="1">
      <c r="J2" s="482" t="s">
        <v>189</v>
      </c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0:22" ht="27.75" customHeight="1">
      <c r="J3" s="393"/>
      <c r="K3" s="481" t="s">
        <v>325</v>
      </c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364"/>
    </row>
    <row r="4" spans="10:22">
      <c r="J4" s="393"/>
      <c r="K4" s="366"/>
      <c r="L4" s="367"/>
      <c r="M4" s="367"/>
      <c r="N4" s="367"/>
      <c r="O4" s="367"/>
      <c r="P4" s="367"/>
      <c r="Q4" s="367"/>
      <c r="R4" s="367"/>
      <c r="S4" s="367"/>
      <c r="T4" s="367"/>
      <c r="U4" s="366"/>
      <c r="V4" s="364"/>
    </row>
    <row r="5" spans="10:22">
      <c r="J5" s="393"/>
      <c r="K5" s="366" t="s">
        <v>264</v>
      </c>
      <c r="L5" s="368"/>
      <c r="M5" s="368"/>
      <c r="N5" s="368"/>
      <c r="O5" s="368"/>
      <c r="P5" s="368"/>
      <c r="Q5" s="366" t="s">
        <v>264</v>
      </c>
      <c r="R5" s="368"/>
      <c r="S5" s="368"/>
      <c r="T5" s="368"/>
      <c r="U5" s="366"/>
      <c r="V5" s="364"/>
    </row>
    <row r="6" spans="10:22" ht="32.25" thickBot="1">
      <c r="J6" s="393"/>
      <c r="K6" s="369" t="str">
        <f>Q6</f>
        <v>1393/12/29</v>
      </c>
      <c r="L6" s="370" t="str">
        <f>R6</f>
        <v>1392/12/29</v>
      </c>
      <c r="M6" s="366"/>
      <c r="N6" s="371" t="s">
        <v>203</v>
      </c>
      <c r="O6" s="372"/>
      <c r="P6" s="372"/>
      <c r="Q6" s="369" t="s">
        <v>419</v>
      </c>
      <c r="R6" s="373" t="s">
        <v>376</v>
      </c>
      <c r="S6" s="366"/>
      <c r="T6" s="371" t="s">
        <v>203</v>
      </c>
      <c r="U6" s="374"/>
      <c r="V6" s="364"/>
    </row>
    <row r="7" spans="10:22" ht="30.75" thickTop="1">
      <c r="J7" s="393"/>
      <c r="K7" s="366"/>
      <c r="L7" s="375"/>
      <c r="M7" s="375"/>
      <c r="N7" s="375"/>
      <c r="O7" s="372"/>
      <c r="P7" s="372"/>
      <c r="Q7" s="372"/>
      <c r="R7" s="366"/>
      <c r="S7" s="366"/>
      <c r="T7" s="366"/>
      <c r="U7" s="366"/>
      <c r="V7" s="364"/>
    </row>
    <row r="8" spans="10:22" ht="31.5">
      <c r="J8" s="393"/>
      <c r="K8" s="366"/>
      <c r="L8" s="366"/>
      <c r="M8" s="366"/>
      <c r="N8" s="366"/>
      <c r="O8" s="376" t="s">
        <v>156</v>
      </c>
      <c r="P8" s="377"/>
      <c r="Q8" s="377"/>
      <c r="R8" s="366"/>
      <c r="S8" s="366"/>
      <c r="T8" s="366"/>
      <c r="U8" s="378" t="s">
        <v>157</v>
      </c>
      <c r="V8" s="364"/>
    </row>
    <row r="9" spans="10:22" ht="31.5">
      <c r="J9" s="393"/>
      <c r="K9" s="83"/>
      <c r="L9" s="83">
        <f>Sheet1!J69</f>
        <v>4649500000</v>
      </c>
      <c r="M9" s="366"/>
      <c r="N9" s="366">
        <v>14</v>
      </c>
      <c r="O9" s="379" t="s">
        <v>158</v>
      </c>
      <c r="P9" s="372"/>
      <c r="Q9" s="82">
        <f>'گردش جریان وجه نقد'!D31</f>
        <v>-4988219910.9731064</v>
      </c>
      <c r="R9" s="83">
        <f>Sheet1!J13</f>
        <v>4820750000</v>
      </c>
      <c r="S9" s="83"/>
      <c r="T9" s="366">
        <v>4</v>
      </c>
      <c r="U9" s="383" t="s">
        <v>159</v>
      </c>
      <c r="V9" s="364"/>
    </row>
    <row r="10" spans="10:22">
      <c r="J10" s="393"/>
      <c r="K10" s="83"/>
      <c r="L10" s="83"/>
      <c r="M10" s="366"/>
      <c r="N10" s="366">
        <v>15</v>
      </c>
      <c r="O10" s="379" t="s">
        <v>160</v>
      </c>
      <c r="P10" s="372"/>
      <c r="Q10" s="82">
        <f>R10</f>
        <v>2500000000</v>
      </c>
      <c r="R10" s="83">
        <f>Sheet1!J22</f>
        <v>2500000000</v>
      </c>
      <c r="S10" s="83"/>
      <c r="T10" s="366">
        <v>5</v>
      </c>
      <c r="U10" s="384" t="s">
        <v>161</v>
      </c>
      <c r="V10" s="364"/>
    </row>
    <row r="11" spans="10:22" ht="31.5">
      <c r="J11" s="393"/>
      <c r="K11" s="83"/>
      <c r="L11" s="83"/>
      <c r="M11" s="366"/>
      <c r="N11" s="366">
        <v>16</v>
      </c>
      <c r="O11" s="379" t="s">
        <v>162</v>
      </c>
      <c r="P11" s="372"/>
      <c r="Q11" s="82"/>
      <c r="R11" s="170">
        <f>Sheet1!J32</f>
        <v>2000000000</v>
      </c>
      <c r="S11" s="83"/>
      <c r="T11" s="366">
        <v>6</v>
      </c>
      <c r="U11" s="383" t="s">
        <v>163</v>
      </c>
      <c r="V11" s="364"/>
    </row>
    <row r="12" spans="10:22">
      <c r="J12" s="393"/>
      <c r="K12" s="83">
        <f>'سود و زیان '!J24</f>
        <v>-592992477.7432766</v>
      </c>
      <c r="L12" s="83">
        <f>Sheet1!J76</f>
        <v>1875000000</v>
      </c>
      <c r="M12" s="366"/>
      <c r="N12" s="366">
        <v>17</v>
      </c>
      <c r="O12" s="379" t="s">
        <v>164</v>
      </c>
      <c r="P12" s="372"/>
      <c r="Q12" s="82"/>
      <c r="R12" s="83"/>
      <c r="S12" s="83"/>
      <c r="T12" s="366">
        <v>7</v>
      </c>
      <c r="U12" s="385" t="s">
        <v>165</v>
      </c>
      <c r="V12" s="364"/>
    </row>
    <row r="13" spans="10:22">
      <c r="J13" s="393"/>
      <c r="K13" s="83">
        <f>'سود و زیان '!J35</f>
        <v>-152897743.322983</v>
      </c>
      <c r="L13" s="83">
        <f>Sheet1!J82</f>
        <v>562500000</v>
      </c>
      <c r="M13" s="366"/>
      <c r="N13" s="366">
        <v>18</v>
      </c>
      <c r="O13" s="379" t="s">
        <v>166</v>
      </c>
      <c r="P13" s="372"/>
      <c r="Q13" s="82">
        <f>R13</f>
        <v>750000000</v>
      </c>
      <c r="R13" s="83">
        <f>Sheet1!J40</f>
        <v>750000000</v>
      </c>
      <c r="S13" s="83"/>
      <c r="T13" s="366">
        <v>8</v>
      </c>
      <c r="U13" s="385" t="s">
        <v>167</v>
      </c>
      <c r="V13" s="364"/>
    </row>
    <row r="14" spans="10:22">
      <c r="J14" s="393"/>
      <c r="K14" s="83">
        <f>L14</f>
        <v>2600000000</v>
      </c>
      <c r="L14" s="170">
        <f>Sheet1!J88</f>
        <v>2600000000</v>
      </c>
      <c r="M14" s="366"/>
      <c r="N14" s="366">
        <v>19</v>
      </c>
      <c r="O14" s="379" t="s">
        <v>168</v>
      </c>
      <c r="P14" s="372"/>
      <c r="Q14" s="82">
        <f>R14</f>
        <v>1136000000</v>
      </c>
      <c r="R14" s="359">
        <f>Sheet1!J49</f>
        <v>1136000000</v>
      </c>
      <c r="S14" s="83"/>
      <c r="T14" s="366">
        <v>9</v>
      </c>
      <c r="U14" s="385" t="s">
        <v>169</v>
      </c>
      <c r="V14" s="364"/>
    </row>
    <row r="15" spans="10:22" ht="30.75" thickBot="1">
      <c r="J15" s="393"/>
      <c r="K15" s="366"/>
      <c r="L15" s="366"/>
      <c r="M15" s="366"/>
      <c r="N15" s="366"/>
      <c r="O15" s="372"/>
      <c r="P15" s="372"/>
      <c r="Q15" s="372"/>
      <c r="R15" s="366"/>
      <c r="S15" s="366"/>
      <c r="T15" s="366"/>
      <c r="U15" s="366"/>
      <c r="V15" s="364"/>
    </row>
    <row r="16" spans="10:22" ht="30.75" thickBot="1">
      <c r="J16" s="393"/>
      <c r="K16" s="390">
        <f>SUM(K9:K14)</f>
        <v>1854109778.9337404</v>
      </c>
      <c r="L16" s="390">
        <f>SUM(L9:L14)</f>
        <v>9687000000</v>
      </c>
      <c r="M16" s="366"/>
      <c r="N16" s="366"/>
      <c r="O16" s="372" t="s">
        <v>170</v>
      </c>
      <c r="P16" s="372"/>
      <c r="Q16" s="390">
        <f>SUM(Q9:Q14)</f>
        <v>-602219910.97310638</v>
      </c>
      <c r="R16" s="390">
        <f>SUM(R9:R14)</f>
        <v>11206750000</v>
      </c>
      <c r="S16" s="366"/>
      <c r="T16" s="366"/>
      <c r="U16" s="366" t="s">
        <v>171</v>
      </c>
      <c r="V16" s="364"/>
    </row>
    <row r="17" spans="10:22">
      <c r="J17" s="393"/>
      <c r="K17" s="366"/>
      <c r="L17" s="391"/>
      <c r="M17" s="366"/>
      <c r="N17" s="366"/>
      <c r="O17" s="372"/>
      <c r="P17" s="372"/>
      <c r="Q17" s="372"/>
      <c r="R17" s="391"/>
      <c r="S17" s="366"/>
      <c r="T17" s="366"/>
      <c r="U17" s="366"/>
      <c r="V17" s="364"/>
    </row>
    <row r="18" spans="10:22">
      <c r="J18" s="393"/>
      <c r="K18" s="366"/>
      <c r="L18" s="366"/>
      <c r="M18" s="366"/>
      <c r="N18" s="366"/>
      <c r="O18" s="380" t="s">
        <v>172</v>
      </c>
      <c r="P18" s="381"/>
      <c r="Q18" s="381"/>
      <c r="R18" s="386"/>
      <c r="S18" s="386"/>
      <c r="T18" s="386"/>
      <c r="U18" s="387" t="s">
        <v>173</v>
      </c>
      <c r="V18" s="364"/>
    </row>
    <row r="19" spans="10:22">
      <c r="J19" s="393"/>
      <c r="K19" s="83"/>
      <c r="L19" s="83"/>
      <c r="M19" s="366"/>
      <c r="N19" s="366">
        <v>20</v>
      </c>
      <c r="O19" s="379" t="s">
        <v>174</v>
      </c>
      <c r="P19" s="372"/>
      <c r="Q19" s="82">
        <f>R19</f>
        <v>45400000000</v>
      </c>
      <c r="R19" s="83">
        <f>Sheet1!J56</f>
        <v>45400000000</v>
      </c>
      <c r="S19" s="83"/>
      <c r="T19" s="366">
        <v>10</v>
      </c>
      <c r="U19" s="385" t="s">
        <v>175</v>
      </c>
      <c r="V19" s="364"/>
    </row>
    <row r="20" spans="10:22">
      <c r="J20" s="393"/>
      <c r="K20" s="83">
        <f>L20-L14</f>
        <v>10400000000</v>
      </c>
      <c r="L20" s="170">
        <f>Sheet1!H88</f>
        <v>13000000000</v>
      </c>
      <c r="M20" s="366"/>
      <c r="N20" s="366">
        <v>21</v>
      </c>
      <c r="O20" s="379" t="s">
        <v>176</v>
      </c>
      <c r="P20" s="372"/>
      <c r="Q20" s="82">
        <f>R20</f>
        <v>679250000</v>
      </c>
      <c r="R20" s="83">
        <f>Sheet1!J63</f>
        <v>679250000</v>
      </c>
      <c r="S20" s="83"/>
      <c r="T20" s="366">
        <v>11</v>
      </c>
      <c r="U20" s="385" t="s">
        <v>177</v>
      </c>
      <c r="V20" s="364"/>
    </row>
    <row r="21" spans="10:22">
      <c r="J21" s="393"/>
      <c r="K21" s="83">
        <f>L21</f>
        <v>1776000000</v>
      </c>
      <c r="L21" s="83">
        <f>Sheet1!J101</f>
        <v>1776000000</v>
      </c>
      <c r="M21" s="366"/>
      <c r="N21" s="366">
        <v>22</v>
      </c>
      <c r="O21" s="379" t="s">
        <v>178</v>
      </c>
      <c r="P21" s="372"/>
      <c r="Q21" s="82"/>
      <c r="R21" s="83"/>
      <c r="S21" s="83"/>
      <c r="T21" s="366">
        <v>12</v>
      </c>
      <c r="U21" s="385" t="s">
        <v>179</v>
      </c>
      <c r="V21" s="364"/>
    </row>
    <row r="22" spans="10:22">
      <c r="J22" s="393"/>
      <c r="K22" s="366"/>
      <c r="L22" s="366"/>
      <c r="M22" s="366"/>
      <c r="N22" s="366"/>
      <c r="O22" s="372"/>
      <c r="P22" s="372"/>
      <c r="Q22" s="82"/>
      <c r="R22" s="83"/>
      <c r="S22" s="83"/>
      <c r="T22" s="366">
        <v>13</v>
      </c>
      <c r="U22" s="385" t="s">
        <v>180</v>
      </c>
      <c r="V22" s="364"/>
    </row>
    <row r="23" spans="10:22" ht="30.75" thickBot="1">
      <c r="J23" s="393"/>
      <c r="K23" s="366"/>
      <c r="L23" s="366"/>
      <c r="M23" s="366"/>
      <c r="N23" s="366"/>
      <c r="O23" s="372"/>
      <c r="P23" s="372"/>
      <c r="Q23" s="372"/>
      <c r="R23" s="366"/>
      <c r="S23" s="366"/>
      <c r="T23" s="366"/>
      <c r="U23" s="385"/>
      <c r="V23" s="364"/>
    </row>
    <row r="24" spans="10:22" ht="30.75" thickBot="1">
      <c r="J24" s="393"/>
      <c r="K24" s="390">
        <f>SUM(K19:K21)</f>
        <v>12176000000</v>
      </c>
      <c r="L24" s="390">
        <f>SUM(L19:L21)</f>
        <v>14776000000</v>
      </c>
      <c r="M24" s="366"/>
      <c r="N24" s="366"/>
      <c r="O24" s="381" t="s">
        <v>181</v>
      </c>
      <c r="P24" s="372"/>
      <c r="Q24" s="390">
        <f>SUM(Q19:Q22)</f>
        <v>46079250000</v>
      </c>
      <c r="R24" s="390">
        <f>SUM(R19:R22)</f>
        <v>46079250000</v>
      </c>
      <c r="S24" s="366"/>
      <c r="T24" s="366"/>
      <c r="U24" s="386" t="s">
        <v>182</v>
      </c>
      <c r="V24" s="364"/>
    </row>
    <row r="25" spans="10:22">
      <c r="J25" s="393"/>
      <c r="K25" s="366"/>
      <c r="L25" s="366"/>
      <c r="M25" s="366"/>
      <c r="N25" s="366"/>
      <c r="O25" s="372"/>
      <c r="P25" s="372"/>
      <c r="Q25" s="372"/>
      <c r="R25" s="391"/>
      <c r="S25" s="366"/>
      <c r="T25" s="366"/>
      <c r="U25" s="366"/>
      <c r="V25" s="364"/>
    </row>
    <row r="26" spans="10:22">
      <c r="J26" s="393"/>
      <c r="K26" s="366"/>
      <c r="L26" s="366"/>
      <c r="M26" s="366"/>
      <c r="N26" s="366"/>
      <c r="O26" s="377" t="s">
        <v>183</v>
      </c>
      <c r="P26" s="377"/>
      <c r="Q26" s="84"/>
      <c r="R26" s="85"/>
      <c r="S26" s="395"/>
      <c r="T26" s="366"/>
      <c r="U26" s="388"/>
      <c r="V26" s="364"/>
    </row>
    <row r="27" spans="10:22">
      <c r="J27" s="393"/>
      <c r="K27" s="83">
        <f>L27</f>
        <v>27760000000</v>
      </c>
      <c r="L27" s="83">
        <f>Sheet1!J113</f>
        <v>27760000000</v>
      </c>
      <c r="M27" s="366"/>
      <c r="N27" s="366">
        <v>23</v>
      </c>
      <c r="O27" s="372" t="s">
        <v>184</v>
      </c>
      <c r="P27" s="372"/>
      <c r="Q27" s="86"/>
      <c r="R27" s="85"/>
      <c r="S27" s="395"/>
      <c r="T27" s="366"/>
      <c r="U27" s="366"/>
      <c r="V27" s="364"/>
    </row>
    <row r="28" spans="10:22">
      <c r="J28" s="393"/>
      <c r="K28" s="83">
        <f>'سود و زیان '!I38</f>
        <v>3481619181.7546444</v>
      </c>
      <c r="L28" s="83">
        <f>Sheet1!J119</f>
        <v>4781250000</v>
      </c>
      <c r="M28" s="366"/>
      <c r="N28" s="366">
        <v>24</v>
      </c>
      <c r="O28" s="372" t="s">
        <v>185</v>
      </c>
      <c r="P28" s="372"/>
      <c r="Q28" s="86"/>
      <c r="R28" s="85"/>
      <c r="S28" s="395"/>
      <c r="T28" s="366"/>
      <c r="U28" s="366"/>
      <c r="V28" s="364"/>
    </row>
    <row r="29" spans="10:22" ht="30.75" thickBot="1">
      <c r="J29" s="393"/>
      <c r="K29" s="83">
        <f>L29+'سود و زیان '!J34</f>
        <v>205301128.33850849</v>
      </c>
      <c r="L29" s="83">
        <f>Sheet1!J125</f>
        <v>281750000</v>
      </c>
      <c r="M29" s="366"/>
      <c r="N29" s="382">
        <v>25</v>
      </c>
      <c r="O29" s="372" t="s">
        <v>186</v>
      </c>
      <c r="P29" s="372"/>
      <c r="Q29" s="86"/>
      <c r="R29" s="85"/>
      <c r="S29" s="395"/>
      <c r="T29" s="366"/>
      <c r="U29" s="366"/>
      <c r="V29" s="364"/>
    </row>
    <row r="30" spans="10:22">
      <c r="J30" s="393"/>
      <c r="K30" s="87">
        <f>SUM(K27:K29)</f>
        <v>31446920310.093155</v>
      </c>
      <c r="L30" s="87">
        <f>SUM(L27:L29)</f>
        <v>32823000000</v>
      </c>
      <c r="M30" s="366"/>
      <c r="N30" s="366"/>
      <c r="O30" s="372" t="s">
        <v>187</v>
      </c>
      <c r="P30" s="372"/>
      <c r="Q30" s="86"/>
      <c r="R30" s="85"/>
      <c r="S30" s="395"/>
      <c r="T30" s="366"/>
      <c r="U30" s="366"/>
      <c r="V30" s="364"/>
    </row>
    <row r="31" spans="10:22" ht="30.75" thickBot="1">
      <c r="J31" s="393"/>
      <c r="K31" s="366"/>
      <c r="L31" s="366"/>
      <c r="M31" s="366"/>
      <c r="N31" s="366"/>
      <c r="O31" s="372"/>
      <c r="P31" s="372"/>
      <c r="Q31" s="372"/>
      <c r="R31" s="366"/>
      <c r="S31" s="366"/>
      <c r="T31" s="366"/>
      <c r="U31" s="366"/>
      <c r="V31" s="364"/>
    </row>
    <row r="32" spans="10:22" ht="30.75" thickBot="1">
      <c r="J32" s="393"/>
      <c r="K32" s="392">
        <f>K30+K24+K16</f>
        <v>45477030089.026894</v>
      </c>
      <c r="L32" s="392">
        <f>L30+L24+L16</f>
        <v>57286000000</v>
      </c>
      <c r="M32" s="366"/>
      <c r="N32" s="366"/>
      <c r="O32" s="372" t="s">
        <v>435</v>
      </c>
      <c r="P32" s="372"/>
      <c r="Q32" s="392">
        <f>Q24+Q16</f>
        <v>45477030089.026894</v>
      </c>
      <c r="R32" s="392">
        <f>R24+R16</f>
        <v>57286000000</v>
      </c>
      <c r="S32" s="366"/>
      <c r="T32" s="366"/>
      <c r="U32" s="366" t="s">
        <v>188</v>
      </c>
      <c r="V32" s="364"/>
    </row>
    <row r="33" spans="10:22" ht="30.75" thickTop="1">
      <c r="J33" s="393"/>
      <c r="K33" s="366"/>
      <c r="L33" s="366"/>
      <c r="M33" s="366"/>
      <c r="N33" s="366"/>
      <c r="O33" s="372"/>
      <c r="P33" s="372"/>
      <c r="Q33" s="372"/>
      <c r="R33" s="366"/>
      <c r="S33" s="366"/>
      <c r="T33" s="366"/>
      <c r="U33" s="366"/>
      <c r="V33" s="364"/>
    </row>
    <row r="34" spans="10:22">
      <c r="J34" s="393"/>
      <c r="K34" s="366">
        <f>R32-L32</f>
        <v>0</v>
      </c>
      <c r="L34" s="366" t="s">
        <v>498</v>
      </c>
      <c r="M34" s="366"/>
      <c r="N34" s="366"/>
      <c r="O34" s="372"/>
      <c r="P34" s="372"/>
      <c r="Q34" s="372"/>
      <c r="R34" s="366"/>
      <c r="S34" s="366"/>
      <c r="T34" s="366"/>
      <c r="U34" s="366"/>
      <c r="V34" s="364"/>
    </row>
    <row r="35" spans="10:22">
      <c r="J35" s="393"/>
      <c r="K35" s="366">
        <f>Q32-K32</f>
        <v>0</v>
      </c>
      <c r="L35" s="366" t="s">
        <v>499</v>
      </c>
      <c r="M35" s="366"/>
      <c r="N35" s="366"/>
      <c r="O35" s="372"/>
      <c r="P35" s="372"/>
      <c r="Q35" s="372"/>
      <c r="R35" s="366"/>
      <c r="S35" s="366"/>
      <c r="T35" s="366"/>
      <c r="U35" s="388"/>
      <c r="V35" s="364"/>
    </row>
    <row r="36" spans="10:22">
      <c r="J36" s="393"/>
      <c r="K36" s="366"/>
      <c r="L36" s="366"/>
      <c r="M36" s="366"/>
      <c r="N36" s="366"/>
      <c r="O36" s="372"/>
      <c r="P36" s="372"/>
      <c r="Q36" s="372"/>
      <c r="R36" s="366"/>
      <c r="S36" s="366"/>
      <c r="T36" s="366"/>
      <c r="U36" s="388"/>
      <c r="V36" s="364"/>
    </row>
    <row r="37" spans="10:22">
      <c r="J37" s="393"/>
      <c r="K37" s="366"/>
      <c r="L37" s="366"/>
      <c r="M37" s="366"/>
      <c r="N37" s="366"/>
      <c r="O37" s="372"/>
      <c r="P37" s="372"/>
      <c r="Q37" s="372"/>
      <c r="R37" s="366"/>
      <c r="S37" s="366"/>
      <c r="T37" s="366"/>
      <c r="U37" s="388"/>
      <c r="V37" s="364"/>
    </row>
    <row r="38" spans="10:22" ht="30.75" thickBot="1">
      <c r="J38" s="394"/>
      <c r="K38" s="371"/>
      <c r="L38" s="371"/>
      <c r="M38" s="366"/>
      <c r="N38" s="371"/>
      <c r="O38" s="369"/>
      <c r="P38" s="369"/>
      <c r="Q38" s="369"/>
      <c r="R38" s="371"/>
      <c r="S38" s="371"/>
      <c r="T38" s="371"/>
      <c r="U38" s="389"/>
      <c r="V38" s="365"/>
    </row>
    <row r="39" spans="10:22" ht="30.75" thickTop="1"/>
    <row r="43" spans="10:22">
      <c r="K43" s="362">
        <f>500/139*1</f>
        <v>3.5971223021582732</v>
      </c>
    </row>
    <row r="45" spans="10:22">
      <c r="K45" s="359">
        <f>1000/1390*100</f>
        <v>71.942446043165461</v>
      </c>
    </row>
  </sheetData>
  <mergeCells count="2">
    <mergeCell ref="K3:U3"/>
    <mergeCell ref="J2:V2"/>
  </mergeCells>
  <hyperlinks>
    <hyperlink ref="U9" location="Sheet3!A1" display="وجوه نقد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32"/>
  <sheetViews>
    <sheetView topLeftCell="D7" zoomScale="55" zoomScaleNormal="55" workbookViewId="0">
      <selection activeCell="F23" sqref="F23"/>
    </sheetView>
  </sheetViews>
  <sheetFormatPr defaultColWidth="9.125" defaultRowHeight="23.25"/>
  <cols>
    <col min="1" max="3" width="9.125" style="43"/>
    <col min="4" max="15" width="32" style="43" bestFit="1" customWidth="1"/>
    <col min="16" max="16" width="34.125" style="43" customWidth="1"/>
    <col min="17" max="17" width="80.875" style="43" bestFit="1" customWidth="1"/>
    <col min="18" max="16384" width="9.125" style="43"/>
  </cols>
  <sheetData>
    <row r="1" spans="4:17">
      <c r="D1" s="488" t="s">
        <v>387</v>
      </c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4:17"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4:17" ht="24" thickBot="1"/>
    <row r="4" spans="4:17" ht="24.75" thickTop="1" thickBot="1">
      <c r="D4" s="486" t="s">
        <v>454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6" t="s">
        <v>190</v>
      </c>
    </row>
    <row r="5" spans="4:17" ht="24.75" thickTop="1" thickBot="1">
      <c r="D5" s="487"/>
      <c r="E5" s="81" t="s">
        <v>43</v>
      </c>
      <c r="F5" s="81" t="s">
        <v>10</v>
      </c>
      <c r="G5" s="81" t="s">
        <v>286</v>
      </c>
      <c r="H5" s="81" t="s">
        <v>8</v>
      </c>
      <c r="I5" s="81" t="s">
        <v>42</v>
      </c>
      <c r="J5" s="81" t="s">
        <v>6</v>
      </c>
      <c r="K5" s="81" t="s">
        <v>285</v>
      </c>
      <c r="L5" s="81" t="s">
        <v>4</v>
      </c>
      <c r="M5" s="81" t="s">
        <v>307</v>
      </c>
      <c r="N5" s="81" t="s">
        <v>2</v>
      </c>
      <c r="O5" s="81" t="s">
        <v>283</v>
      </c>
      <c r="P5" s="81" t="s">
        <v>282</v>
      </c>
      <c r="Q5" s="487"/>
    </row>
    <row r="6" spans="4:17" ht="45" customHeight="1" thickTop="1" thickBot="1">
      <c r="D6" s="52">
        <f>P6</f>
        <v>4820750000</v>
      </c>
      <c r="E6" s="52">
        <f t="shared" ref="E6:N6" si="0">F31</f>
        <v>-3203560766.5631628</v>
      </c>
      <c r="F6" s="52">
        <f t="shared" si="0"/>
        <v>-3224394099.8964963</v>
      </c>
      <c r="G6" s="52">
        <f t="shared" si="0"/>
        <v>-3245227433.2298298</v>
      </c>
      <c r="H6" s="52">
        <f t="shared" si="0"/>
        <v>-2023068288.8198867</v>
      </c>
      <c r="I6" s="52">
        <f t="shared" si="0"/>
        <v>-2043901622.1532199</v>
      </c>
      <c r="J6" s="52">
        <f t="shared" si="0"/>
        <v>-2064734955.4865532</v>
      </c>
      <c r="K6" s="52">
        <f t="shared" si="0"/>
        <v>-992575811.07660997</v>
      </c>
      <c r="L6" s="52">
        <f t="shared" si="0"/>
        <v>-763409144.40994334</v>
      </c>
      <c r="M6" s="52">
        <f t="shared" si="0"/>
        <v>890257522.2567234</v>
      </c>
      <c r="N6" s="52">
        <f t="shared" si="0"/>
        <v>2452416666.6666665</v>
      </c>
      <c r="O6" s="52">
        <f>P31</f>
        <v>2841583333.333333</v>
      </c>
      <c r="P6" s="52">
        <f>ترازنامه!R9</f>
        <v>4820750000</v>
      </c>
      <c r="Q6" s="79" t="s">
        <v>191</v>
      </c>
    </row>
    <row r="7" spans="4:17" ht="45" customHeight="1" thickTop="1" thickBot="1">
      <c r="D7" s="52">
        <f t="shared" ref="D7:D10" si="1">SUM(E7:P7)</f>
        <v>2000000000</v>
      </c>
      <c r="E7" s="52">
        <f>sheet2!J10</f>
        <v>0</v>
      </c>
      <c r="F7" s="52">
        <f>sheet2!K10</f>
        <v>0</v>
      </c>
      <c r="G7" s="52">
        <f>sheet2!L10</f>
        <v>0</v>
      </c>
      <c r="H7" s="52">
        <f>sheet2!M10</f>
        <v>0</v>
      </c>
      <c r="I7" s="52">
        <f>sheet2!N10</f>
        <v>0</v>
      </c>
      <c r="J7" s="52">
        <f>sheet2!O10</f>
        <v>0</v>
      </c>
      <c r="K7" s="52">
        <f>sheet2!P10</f>
        <v>150000000</v>
      </c>
      <c r="L7" s="52">
        <f>sheet2!Q10</f>
        <v>150000000</v>
      </c>
      <c r="M7" s="52">
        <f>sheet2!R10</f>
        <v>900000000</v>
      </c>
      <c r="N7" s="52">
        <f>sheet2!S10</f>
        <v>260000000</v>
      </c>
      <c r="O7" s="52">
        <f>sheet2!T10</f>
        <v>390000000</v>
      </c>
      <c r="P7" s="52">
        <f>sheet2!U10</f>
        <v>150000000</v>
      </c>
      <c r="Q7" s="158" t="s">
        <v>386</v>
      </c>
    </row>
    <row r="8" spans="4:17" ht="45" customHeight="1" thickTop="1" thickBot="1">
      <c r="D8" s="52">
        <f t="shared" si="1"/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58" t="s">
        <v>385</v>
      </c>
    </row>
    <row r="9" spans="4:17" ht="45" customHeight="1" thickTop="1" thickBot="1">
      <c r="D9" s="52">
        <f t="shared" si="1"/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58" t="s">
        <v>486</v>
      </c>
    </row>
    <row r="10" spans="4:17" ht="45" customHeight="1" thickTop="1" thickBot="1">
      <c r="D10" s="52">
        <f t="shared" si="1"/>
        <v>250000000.00000003</v>
      </c>
      <c r="E10" s="52">
        <f t="shared" ref="E10:N10" si="2">F10</f>
        <v>20833333.333333332</v>
      </c>
      <c r="F10" s="52">
        <f t="shared" si="2"/>
        <v>20833333.333333332</v>
      </c>
      <c r="G10" s="52">
        <f t="shared" si="2"/>
        <v>20833333.333333332</v>
      </c>
      <c r="H10" s="52">
        <f t="shared" si="2"/>
        <v>20833333.333333332</v>
      </c>
      <c r="I10" s="52">
        <f t="shared" si="2"/>
        <v>20833333.333333332</v>
      </c>
      <c r="J10" s="52">
        <f t="shared" si="2"/>
        <v>20833333.333333332</v>
      </c>
      <c r="K10" s="52">
        <f t="shared" si="2"/>
        <v>20833333.333333332</v>
      </c>
      <c r="L10" s="52">
        <f t="shared" si="2"/>
        <v>20833333.333333332</v>
      </c>
      <c r="M10" s="52">
        <f t="shared" si="2"/>
        <v>20833333.333333332</v>
      </c>
      <c r="N10" s="52">
        <f t="shared" si="2"/>
        <v>20833333.333333332</v>
      </c>
      <c r="O10" s="52">
        <f>P10</f>
        <v>20833333.333333332</v>
      </c>
      <c r="P10" s="52">
        <f>ترازنامه!R10*10%/12</f>
        <v>20833333.333333332</v>
      </c>
      <c r="Q10" s="79" t="s">
        <v>259</v>
      </c>
    </row>
    <row r="11" spans="4:17" ht="45" customHeight="1" thickTop="1" thickBot="1">
      <c r="D11" s="80">
        <f t="shared" ref="D11:O11" si="3">SUM(D6:D10)</f>
        <v>7070750000</v>
      </c>
      <c r="E11" s="80">
        <f t="shared" si="3"/>
        <v>-3182727433.2298293</v>
      </c>
      <c r="F11" s="80">
        <f t="shared" si="3"/>
        <v>-3203560766.5631628</v>
      </c>
      <c r="G11" s="80">
        <f t="shared" si="3"/>
        <v>-3224394099.8964963</v>
      </c>
      <c r="H11" s="80">
        <f t="shared" si="3"/>
        <v>-2002234955.4865534</v>
      </c>
      <c r="I11" s="80">
        <f t="shared" si="3"/>
        <v>-2023068288.8198867</v>
      </c>
      <c r="J11" s="80">
        <f t="shared" si="3"/>
        <v>-2043901622.1532199</v>
      </c>
      <c r="K11" s="80">
        <f t="shared" si="3"/>
        <v>-821742477.7432766</v>
      </c>
      <c r="L11" s="80">
        <f t="shared" si="3"/>
        <v>-592575811.07660997</v>
      </c>
      <c r="M11" s="80">
        <f t="shared" si="3"/>
        <v>1811090855.5900567</v>
      </c>
      <c r="N11" s="80">
        <f t="shared" si="3"/>
        <v>2733250000</v>
      </c>
      <c r="O11" s="80">
        <f t="shared" si="3"/>
        <v>3252416666.6666665</v>
      </c>
      <c r="P11" s="80">
        <f>SUM(P6:P10)</f>
        <v>4991583333.333333</v>
      </c>
      <c r="Q11" s="76" t="s">
        <v>192</v>
      </c>
    </row>
    <row r="12" spans="4:17" ht="30" customHeight="1" thickTop="1" thickBot="1">
      <c r="D12" s="53">
        <f>SUM(E12:P12)</f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159" t="s">
        <v>193</v>
      </c>
    </row>
    <row r="13" spans="4:17" ht="30" customHeight="1" thickTop="1" thickBot="1">
      <c r="D13" s="169">
        <f t="shared" ref="D13:D24" si="4">SUM(E13:P13)</f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159" t="s">
        <v>194</v>
      </c>
    </row>
    <row r="14" spans="4:17" ht="30" customHeight="1" thickTop="1" thickBot="1">
      <c r="D14" s="169">
        <f t="shared" si="4"/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59" t="s">
        <v>482</v>
      </c>
    </row>
    <row r="15" spans="4:17" ht="30" customHeight="1" thickTop="1" thickBot="1">
      <c r="D15" s="169">
        <f t="shared" si="4"/>
        <v>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59" t="s">
        <v>483</v>
      </c>
    </row>
    <row r="16" spans="4:17" ht="30" customHeight="1" thickTop="1" thickBot="1">
      <c r="D16" s="169">
        <f t="shared" si="4"/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159" t="s">
        <v>484</v>
      </c>
    </row>
    <row r="17" spans="4:17" ht="30" customHeight="1" thickTop="1" thickBot="1">
      <c r="D17" s="169">
        <f t="shared" si="4"/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160" t="s">
        <v>195</v>
      </c>
    </row>
    <row r="18" spans="4:17" ht="30" customHeight="1" thickTop="1" thickBot="1">
      <c r="D18" s="169">
        <f t="shared" si="4"/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160" t="s">
        <v>326</v>
      </c>
    </row>
    <row r="19" spans="4:17" ht="30" customHeight="1" thickTop="1" thickBot="1">
      <c r="D19" s="169">
        <f t="shared" si="4"/>
        <v>0</v>
      </c>
      <c r="E19" s="5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160" t="s">
        <v>179</v>
      </c>
    </row>
    <row r="20" spans="4:17" ht="30" customHeight="1" thickTop="1" thickBot="1">
      <c r="D20" s="169">
        <f t="shared" si="4"/>
        <v>4649500000</v>
      </c>
      <c r="E20" s="91">
        <f>sheet2!J63</f>
        <v>0</v>
      </c>
      <c r="F20" s="91">
        <f>sheet2!K63</f>
        <v>0</v>
      </c>
      <c r="G20" s="91">
        <f>sheet2!L63</f>
        <v>0</v>
      </c>
      <c r="H20" s="91">
        <f>sheet2!M63</f>
        <v>0</v>
      </c>
      <c r="I20" s="91">
        <f>sheet2!N63</f>
        <v>0</v>
      </c>
      <c r="J20" s="91">
        <f>sheet2!O63</f>
        <v>0</v>
      </c>
      <c r="K20" s="91">
        <f>sheet2!P63</f>
        <v>0</v>
      </c>
      <c r="L20" s="91">
        <f>sheet2!Q63</f>
        <v>400000000</v>
      </c>
      <c r="M20" s="91">
        <f>sheet2!R63</f>
        <v>699500000</v>
      </c>
      <c r="N20" s="91">
        <f>sheet2!S63</f>
        <v>600000000</v>
      </c>
      <c r="O20" s="91">
        <f>sheet2!T63</f>
        <v>800000000</v>
      </c>
      <c r="P20" s="91">
        <f>sheet2!U63</f>
        <v>2150000000</v>
      </c>
      <c r="Q20" s="159" t="s">
        <v>261</v>
      </c>
    </row>
    <row r="21" spans="4:17" ht="30" customHeight="1" thickTop="1" thickBot="1">
      <c r="D21" s="169">
        <f t="shared" si="4"/>
        <v>562500000</v>
      </c>
      <c r="E21" s="54">
        <f>ترازنامه!L13</f>
        <v>562500000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159" t="s">
        <v>337</v>
      </c>
    </row>
    <row r="22" spans="4:17" ht="30" customHeight="1" thickTop="1" thickBot="1">
      <c r="D22" s="169">
        <f t="shared" si="4"/>
        <v>2600000000</v>
      </c>
      <c r="E22" s="54">
        <f>H22</f>
        <v>650000000</v>
      </c>
      <c r="F22" s="53"/>
      <c r="G22" s="53"/>
      <c r="H22" s="53">
        <f>K22</f>
        <v>650000000</v>
      </c>
      <c r="I22" s="53"/>
      <c r="J22" s="53"/>
      <c r="K22" s="53">
        <f>N22</f>
        <v>650000000</v>
      </c>
      <c r="L22" s="53"/>
      <c r="M22" s="53"/>
      <c r="N22" s="53">
        <f>Sheet1!L92</f>
        <v>650000000</v>
      </c>
      <c r="O22" s="53"/>
      <c r="P22" s="53"/>
      <c r="Q22" s="159" t="s">
        <v>321</v>
      </c>
    </row>
    <row r="23" spans="4:17" ht="29.25" thickTop="1" thickBot="1">
      <c r="D23" s="169">
        <f t="shared" si="4"/>
        <v>2371969910.9731064</v>
      </c>
      <c r="E23" s="54">
        <f>H23</f>
        <v>592992477.7432766</v>
      </c>
      <c r="F23" s="53"/>
      <c r="G23" s="53"/>
      <c r="H23" s="169">
        <f>K23</f>
        <v>592992477.7432766</v>
      </c>
      <c r="I23" s="53"/>
      <c r="J23" s="53"/>
      <c r="K23" s="169">
        <f>N23</f>
        <v>592992477.7432766</v>
      </c>
      <c r="L23" s="53"/>
      <c r="M23" s="53"/>
      <c r="N23" s="169">
        <f>Sheet1!L93</f>
        <v>592992477.7432766</v>
      </c>
      <c r="O23" s="53"/>
      <c r="P23" s="53"/>
      <c r="Q23" s="159" t="s">
        <v>322</v>
      </c>
    </row>
    <row r="24" spans="4:17" ht="30" customHeight="1" thickTop="1" thickBot="1">
      <c r="D24" s="169">
        <f t="shared" si="4"/>
        <v>1875000000</v>
      </c>
      <c r="E24" s="54"/>
      <c r="F24" s="53"/>
      <c r="G24" s="53"/>
      <c r="H24" s="53"/>
      <c r="I24" s="53"/>
      <c r="J24" s="53"/>
      <c r="K24" s="53"/>
      <c r="L24" s="53"/>
      <c r="M24" s="169">
        <f>ترازنامه!L12</f>
        <v>1875000000</v>
      </c>
      <c r="N24" s="53"/>
      <c r="O24" s="53"/>
      <c r="P24" s="53"/>
      <c r="Q24" s="159" t="s">
        <v>485</v>
      </c>
    </row>
    <row r="25" spans="4:17" ht="30" customHeight="1" thickTop="1" thickBot="1">
      <c r="D25" s="357">
        <f t="shared" ref="D25:O25" si="5">SUM(D12:D24)</f>
        <v>12058969910.973106</v>
      </c>
      <c r="E25" s="357">
        <f t="shared" si="5"/>
        <v>1805492477.7432766</v>
      </c>
      <c r="F25" s="357">
        <f t="shared" si="5"/>
        <v>0</v>
      </c>
      <c r="G25" s="357">
        <f t="shared" si="5"/>
        <v>0</v>
      </c>
      <c r="H25" s="357">
        <f t="shared" si="5"/>
        <v>1242992477.7432766</v>
      </c>
      <c r="I25" s="357">
        <f t="shared" si="5"/>
        <v>0</v>
      </c>
      <c r="J25" s="357">
        <f t="shared" si="5"/>
        <v>0</v>
      </c>
      <c r="K25" s="357">
        <f t="shared" si="5"/>
        <v>1242992477.7432766</v>
      </c>
      <c r="L25" s="357">
        <f t="shared" si="5"/>
        <v>400000000</v>
      </c>
      <c r="M25" s="357">
        <f t="shared" si="5"/>
        <v>2574500000</v>
      </c>
      <c r="N25" s="357">
        <f t="shared" si="5"/>
        <v>1842992477.7432766</v>
      </c>
      <c r="O25" s="357">
        <f t="shared" si="5"/>
        <v>800000000</v>
      </c>
      <c r="P25" s="357">
        <f>SUM(P12:P24)</f>
        <v>2150000000</v>
      </c>
      <c r="Q25" s="78" t="s">
        <v>196</v>
      </c>
    </row>
    <row r="26" spans="4:17" ht="30" customHeight="1" thickTop="1" thickBot="1">
      <c r="D26" s="90">
        <f t="shared" ref="D26:O26" si="6">D11-D25</f>
        <v>-4988219910.9731064</v>
      </c>
      <c r="E26" s="90">
        <f t="shared" si="6"/>
        <v>-4988219910.9731064</v>
      </c>
      <c r="F26" s="90">
        <f t="shared" si="6"/>
        <v>-3203560766.5631628</v>
      </c>
      <c r="G26" s="90">
        <f t="shared" si="6"/>
        <v>-3224394099.8964963</v>
      </c>
      <c r="H26" s="90">
        <f t="shared" si="6"/>
        <v>-3245227433.2298298</v>
      </c>
      <c r="I26" s="90">
        <f t="shared" si="6"/>
        <v>-2023068288.8198867</v>
      </c>
      <c r="J26" s="90">
        <f t="shared" si="6"/>
        <v>-2043901622.1532199</v>
      </c>
      <c r="K26" s="90">
        <f t="shared" si="6"/>
        <v>-2064734955.4865532</v>
      </c>
      <c r="L26" s="90">
        <f t="shared" si="6"/>
        <v>-992575811.07660997</v>
      </c>
      <c r="M26" s="90">
        <f t="shared" si="6"/>
        <v>-763409144.40994334</v>
      </c>
      <c r="N26" s="90">
        <f t="shared" si="6"/>
        <v>890257522.2567234</v>
      </c>
      <c r="O26" s="90">
        <f t="shared" si="6"/>
        <v>2452416666.6666665</v>
      </c>
      <c r="P26" s="90">
        <f>P11-P25</f>
        <v>2841583333.333333</v>
      </c>
      <c r="Q26" s="75" t="s">
        <v>197</v>
      </c>
    </row>
    <row r="27" spans="4:17" ht="30" customHeight="1" thickTop="1" thickBot="1">
      <c r="D27" s="358">
        <f>SUM(E27:P27)</f>
        <v>0</v>
      </c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77" t="s">
        <v>198</v>
      </c>
    </row>
    <row r="28" spans="4:17" ht="30" customHeight="1" thickTop="1" thickBot="1">
      <c r="D28" s="358">
        <f t="shared" ref="D28:D30" si="7">SUM(E28:P28)</f>
        <v>0</v>
      </c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77" t="s">
        <v>199</v>
      </c>
    </row>
    <row r="29" spans="4:17" ht="30" customHeight="1" thickTop="1" thickBot="1">
      <c r="D29" s="358">
        <f t="shared" si="7"/>
        <v>0</v>
      </c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77" t="s">
        <v>323</v>
      </c>
    </row>
    <row r="30" spans="4:17" ht="30" customHeight="1" thickTop="1" thickBot="1">
      <c r="D30" s="358">
        <f t="shared" si="7"/>
        <v>0</v>
      </c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77" t="s">
        <v>327</v>
      </c>
    </row>
    <row r="31" spans="4:17" ht="54.75" customHeight="1" thickTop="1" thickBot="1">
      <c r="D31" s="58">
        <f t="shared" ref="D31:O31" si="8">D26+D27-D28-D29+D30</f>
        <v>-4988219910.9731064</v>
      </c>
      <c r="E31" s="58">
        <f t="shared" si="8"/>
        <v>-4988219910.9731064</v>
      </c>
      <c r="F31" s="58">
        <f t="shared" si="8"/>
        <v>-3203560766.5631628</v>
      </c>
      <c r="G31" s="58">
        <f t="shared" si="8"/>
        <v>-3224394099.8964963</v>
      </c>
      <c r="H31" s="58">
        <f t="shared" si="8"/>
        <v>-3245227433.2298298</v>
      </c>
      <c r="I31" s="58">
        <f t="shared" si="8"/>
        <v>-2023068288.8198867</v>
      </c>
      <c r="J31" s="58">
        <f t="shared" si="8"/>
        <v>-2043901622.1532199</v>
      </c>
      <c r="K31" s="58">
        <f t="shared" si="8"/>
        <v>-2064734955.4865532</v>
      </c>
      <c r="L31" s="58">
        <f t="shared" si="8"/>
        <v>-992575811.07660997</v>
      </c>
      <c r="M31" s="58">
        <f t="shared" si="8"/>
        <v>-763409144.40994334</v>
      </c>
      <c r="N31" s="58">
        <f t="shared" si="8"/>
        <v>890257522.2567234</v>
      </c>
      <c r="O31" s="58">
        <f t="shared" si="8"/>
        <v>2452416666.6666665</v>
      </c>
      <c r="P31" s="58">
        <f>P26+P27-P28-P29+P30</f>
        <v>2841583333.333333</v>
      </c>
      <c r="Q31" s="76" t="s">
        <v>200</v>
      </c>
    </row>
    <row r="32" spans="4:17" ht="24" thickTop="1"/>
  </sheetData>
  <mergeCells count="4">
    <mergeCell ref="E4:P4"/>
    <mergeCell ref="D4:D5"/>
    <mergeCell ref="Q4:Q5"/>
    <mergeCell ref="D1:Q2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0"/>
  <sheetViews>
    <sheetView rightToLeft="1" topLeftCell="I82" zoomScale="90" zoomScaleNormal="90" workbookViewId="0">
      <selection activeCell="J114" sqref="J114"/>
    </sheetView>
  </sheetViews>
  <sheetFormatPr defaultColWidth="9" defaultRowHeight="26.25"/>
  <cols>
    <col min="1" max="2" width="9" style="1"/>
    <col min="3" max="3" width="16.125" style="1" bestFit="1" customWidth="1"/>
    <col min="4" max="4" width="11.625" style="1" customWidth="1"/>
    <col min="5" max="5" width="9.75" style="1" customWidth="1"/>
    <col min="6" max="6" width="24.375" style="1" bestFit="1" customWidth="1"/>
    <col min="7" max="7" width="17.75" style="1" bestFit="1" customWidth="1"/>
    <col min="8" max="8" width="28.125" style="1" bestFit="1" customWidth="1"/>
    <col min="9" max="9" width="9" style="1" customWidth="1"/>
    <col min="10" max="10" width="28.125" style="1" customWidth="1"/>
    <col min="11" max="11" width="23.375" style="1" bestFit="1" customWidth="1"/>
    <col min="12" max="12" width="30.375" style="1" bestFit="1" customWidth="1"/>
    <col min="13" max="13" width="36.125" style="1" bestFit="1" customWidth="1"/>
    <col min="14" max="16384" width="9" style="1"/>
  </cols>
  <sheetData>
    <row r="1" spans="2:14" ht="27" thickBot="1"/>
    <row r="2" spans="2:14" s="7" customFormat="1" ht="27" thickTop="1">
      <c r="B2" s="11"/>
      <c r="C2" s="12"/>
      <c r="D2" s="492" t="s">
        <v>414</v>
      </c>
      <c r="E2" s="492"/>
      <c r="F2" s="492"/>
      <c r="G2" s="492"/>
      <c r="H2" s="492"/>
      <c r="I2" s="492"/>
      <c r="J2" s="492"/>
      <c r="K2" s="492"/>
      <c r="L2" s="492"/>
      <c r="M2" s="12"/>
      <c r="N2" s="13"/>
    </row>
    <row r="3" spans="2:14">
      <c r="B3" s="14"/>
      <c r="C3" s="7"/>
      <c r="D3" s="493"/>
      <c r="E3" s="493"/>
      <c r="F3" s="493"/>
      <c r="G3" s="493"/>
      <c r="H3" s="493"/>
      <c r="I3" s="493"/>
      <c r="J3" s="493"/>
      <c r="K3" s="493"/>
      <c r="L3" s="493"/>
      <c r="M3" s="7"/>
      <c r="N3" s="15"/>
    </row>
    <row r="4" spans="2:14">
      <c r="B4" s="1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/>
    </row>
    <row r="5" spans="2:14">
      <c r="B5" s="14"/>
      <c r="C5" s="7" t="s">
        <v>205</v>
      </c>
      <c r="D5" s="489" t="s">
        <v>487</v>
      </c>
      <c r="E5" s="489"/>
      <c r="F5" s="489"/>
      <c r="G5" s="489"/>
      <c r="H5" s="489"/>
      <c r="I5" s="489"/>
      <c r="J5" s="489"/>
      <c r="K5" s="489"/>
      <c r="L5" s="489"/>
      <c r="M5" s="489"/>
      <c r="N5" s="15"/>
    </row>
    <row r="6" spans="2:14">
      <c r="B6" s="1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5"/>
    </row>
    <row r="7" spans="2:14">
      <c r="B7" s="1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5"/>
    </row>
    <row r="8" spans="2:14"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5"/>
    </row>
    <row r="9" spans="2:14" ht="27" thickBot="1">
      <c r="B9" s="14"/>
      <c r="C9" s="7"/>
      <c r="D9" s="7"/>
      <c r="E9" s="7"/>
      <c r="F9" s="7"/>
      <c r="G9" s="7"/>
      <c r="H9" s="7"/>
      <c r="I9" s="7"/>
      <c r="J9" s="332" t="s">
        <v>415</v>
      </c>
      <c r="K9" s="7"/>
      <c r="L9" s="7"/>
      <c r="M9" s="7"/>
      <c r="N9" s="15"/>
    </row>
    <row r="10" spans="2:14">
      <c r="B10" s="14"/>
      <c r="C10" s="7"/>
      <c r="D10" s="7"/>
      <c r="E10" s="7"/>
      <c r="F10" s="7"/>
      <c r="G10" s="7"/>
      <c r="H10" s="7"/>
      <c r="I10" s="7"/>
      <c r="J10" s="333" t="s">
        <v>207</v>
      </c>
      <c r="K10" s="7"/>
      <c r="L10" s="7"/>
      <c r="M10" s="7"/>
      <c r="N10" s="15"/>
    </row>
    <row r="11" spans="2:14">
      <c r="B11" s="14"/>
      <c r="C11" s="7"/>
      <c r="D11" s="7"/>
      <c r="E11" s="7"/>
      <c r="F11" s="489" t="s">
        <v>206</v>
      </c>
      <c r="G11" s="489"/>
      <c r="H11" s="489"/>
      <c r="I11" s="7"/>
      <c r="J11" s="325">
        <v>4800000000</v>
      </c>
      <c r="K11" s="7"/>
      <c r="L11" s="7"/>
      <c r="M11" s="7"/>
      <c r="N11" s="15"/>
    </row>
    <row r="12" spans="2:14" ht="27" thickBot="1">
      <c r="B12" s="14"/>
      <c r="C12" s="7"/>
      <c r="D12" s="7"/>
      <c r="E12" s="7"/>
      <c r="F12" s="489" t="s">
        <v>420</v>
      </c>
      <c r="G12" s="489"/>
      <c r="H12" s="489"/>
      <c r="I12" s="7"/>
      <c r="J12" s="325">
        <v>20750000</v>
      </c>
      <c r="K12" s="7"/>
      <c r="L12" s="7"/>
      <c r="M12" s="7"/>
      <c r="N12" s="15"/>
    </row>
    <row r="13" spans="2:14" ht="27.75" thickTop="1" thickBot="1">
      <c r="B13" s="14"/>
      <c r="C13" s="7"/>
      <c r="D13" s="7"/>
      <c r="E13" s="7"/>
      <c r="F13" s="497" t="s">
        <v>208</v>
      </c>
      <c r="G13" s="497"/>
      <c r="H13" s="497"/>
      <c r="I13" s="7"/>
      <c r="J13" s="2">
        <f>SUM(J11:J12)</f>
        <v>4820750000</v>
      </c>
      <c r="K13" s="7"/>
      <c r="L13" s="7"/>
      <c r="M13" s="7"/>
      <c r="N13" s="15"/>
    </row>
    <row r="14" spans="2:14" ht="27" thickTop="1"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5"/>
    </row>
    <row r="15" spans="2:14" s="7" customFormat="1">
      <c r="B15" s="14"/>
      <c r="N15" s="15"/>
    </row>
    <row r="16" spans="2:14">
      <c r="B16" s="14"/>
      <c r="C16" s="7" t="s">
        <v>209</v>
      </c>
      <c r="D16" s="489" t="s">
        <v>448</v>
      </c>
      <c r="E16" s="489"/>
      <c r="F16" s="489"/>
      <c r="G16" s="489"/>
      <c r="H16" s="489"/>
      <c r="I16" s="489"/>
      <c r="J16" s="489"/>
      <c r="K16" s="489"/>
      <c r="L16" s="489"/>
      <c r="M16" s="489"/>
      <c r="N16" s="15"/>
    </row>
    <row r="17" spans="2:14">
      <c r="B17" s="14"/>
      <c r="C17" s="7"/>
      <c r="D17" s="489" t="s">
        <v>488</v>
      </c>
      <c r="E17" s="489"/>
      <c r="F17" s="489"/>
      <c r="G17" s="489"/>
      <c r="H17" s="489"/>
      <c r="I17" s="489"/>
      <c r="J17" s="489"/>
      <c r="K17" s="489"/>
      <c r="L17" s="489"/>
      <c r="M17" s="489"/>
      <c r="N17" s="15"/>
    </row>
    <row r="18" spans="2:14"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5"/>
    </row>
    <row r="19" spans="2:14" ht="27" thickBot="1">
      <c r="B19" s="14"/>
      <c r="C19" s="7"/>
      <c r="D19" s="7"/>
      <c r="E19" s="7"/>
      <c r="F19" s="7"/>
      <c r="G19" s="7"/>
      <c r="H19" s="7"/>
      <c r="I19" s="7"/>
      <c r="J19" s="332" t="str">
        <f>J9</f>
        <v>29/12/92</v>
      </c>
      <c r="K19" s="7"/>
      <c r="L19" s="7"/>
      <c r="M19" s="7"/>
      <c r="N19" s="15"/>
    </row>
    <row r="20" spans="2:14">
      <c r="B20" s="14"/>
      <c r="C20" s="7"/>
      <c r="D20" s="7"/>
      <c r="E20" s="7"/>
      <c r="F20" s="7"/>
      <c r="G20" s="7"/>
      <c r="H20" s="7"/>
      <c r="I20" s="7"/>
      <c r="J20" s="333" t="s">
        <v>207</v>
      </c>
      <c r="K20" s="7"/>
      <c r="L20" s="7"/>
      <c r="M20" s="7"/>
      <c r="N20" s="15"/>
    </row>
    <row r="21" spans="2:14" ht="27" thickBot="1">
      <c r="B21" s="14"/>
      <c r="C21" s="7"/>
      <c r="D21" s="497" t="s">
        <v>370</v>
      </c>
      <c r="E21" s="497"/>
      <c r="F21" s="497"/>
      <c r="G21" s="497"/>
      <c r="H21" s="497"/>
      <c r="I21" s="7"/>
      <c r="J21" s="325">
        <v>2500000000</v>
      </c>
      <c r="K21" s="7"/>
      <c r="L21" s="7"/>
      <c r="M21" s="7"/>
      <c r="N21" s="15"/>
    </row>
    <row r="22" spans="2:14" ht="27.75" thickTop="1" thickBot="1">
      <c r="B22" s="14"/>
      <c r="C22" s="7"/>
      <c r="D22" s="7"/>
      <c r="E22" s="7"/>
      <c r="F22" s="7" t="s">
        <v>12</v>
      </c>
      <c r="G22" s="7"/>
      <c r="H22" s="7"/>
      <c r="I22" s="7"/>
      <c r="J22" s="2">
        <f>SUM(J20:J21)</f>
        <v>2500000000</v>
      </c>
      <c r="K22" s="7"/>
      <c r="L22" s="7"/>
      <c r="M22" s="7"/>
      <c r="N22" s="15"/>
    </row>
    <row r="23" spans="2:14" ht="27" thickTop="1">
      <c r="B23" s="1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5"/>
    </row>
    <row r="24" spans="2:14"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5"/>
    </row>
    <row r="25" spans="2:14" s="7" customFormat="1">
      <c r="B25" s="14"/>
      <c r="N25" s="15"/>
    </row>
    <row r="26" spans="2:14">
      <c r="B26" s="14"/>
      <c r="C26" s="7" t="s">
        <v>210</v>
      </c>
      <c r="D26" s="498" t="s">
        <v>427</v>
      </c>
      <c r="E26" s="498"/>
      <c r="F26" s="498"/>
      <c r="G26" s="498"/>
      <c r="H26" s="498"/>
      <c r="I26" s="498"/>
      <c r="J26" s="498"/>
      <c r="K26" s="498"/>
      <c r="L26" s="498"/>
      <c r="M26" s="498"/>
      <c r="N26" s="15"/>
    </row>
    <row r="27" spans="2:14">
      <c r="B27" s="14"/>
      <c r="C27" s="7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15"/>
    </row>
    <row r="28" spans="2:14">
      <c r="B28" s="14"/>
      <c r="C28" s="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15"/>
    </row>
    <row r="29" spans="2:14" ht="27" thickBot="1">
      <c r="B29" s="14"/>
      <c r="C29" s="7"/>
      <c r="D29" s="7"/>
      <c r="E29" s="7"/>
      <c r="F29" s="7"/>
      <c r="G29" s="7"/>
      <c r="H29" s="7"/>
      <c r="I29" s="7"/>
      <c r="J29" s="332" t="str">
        <f>J19</f>
        <v>29/12/92</v>
      </c>
      <c r="K29" s="7"/>
      <c r="L29" s="7"/>
      <c r="M29" s="7"/>
      <c r="N29" s="15"/>
    </row>
    <row r="30" spans="2:14">
      <c r="B30" s="14"/>
      <c r="C30" s="7"/>
      <c r="D30" s="7"/>
      <c r="E30" s="7"/>
      <c r="F30" s="7"/>
      <c r="G30" s="7"/>
      <c r="H30" s="7"/>
      <c r="I30" s="7"/>
      <c r="J30" s="333" t="s">
        <v>207</v>
      </c>
      <c r="K30" s="7"/>
      <c r="L30" s="7"/>
      <c r="M30" s="7"/>
      <c r="N30" s="15"/>
    </row>
    <row r="31" spans="2:14" ht="27" thickBot="1">
      <c r="B31" s="14"/>
      <c r="C31" s="7"/>
      <c r="D31" s="7"/>
      <c r="E31" s="7"/>
      <c r="F31" s="7" t="s">
        <v>211</v>
      </c>
      <c r="G31" s="334" t="s">
        <v>218</v>
      </c>
      <c r="H31" s="7"/>
      <c r="I31" s="7"/>
      <c r="J31" s="55">
        <v>2000000000</v>
      </c>
      <c r="K31" s="7"/>
      <c r="L31" s="7"/>
      <c r="M31" s="7"/>
      <c r="N31" s="15"/>
    </row>
    <row r="32" spans="2:14" ht="27.75" thickTop="1" thickBot="1">
      <c r="B32" s="14"/>
      <c r="C32" s="7"/>
      <c r="D32" s="7"/>
      <c r="E32" s="7"/>
      <c r="F32" s="7" t="s">
        <v>208</v>
      </c>
      <c r="G32" s="7"/>
      <c r="H32" s="7"/>
      <c r="I32" s="7"/>
      <c r="J32" s="56">
        <f>SUM(J30:J31)</f>
        <v>2000000000</v>
      </c>
      <c r="K32" s="7"/>
      <c r="L32" s="7"/>
      <c r="M32" s="7"/>
      <c r="N32" s="15"/>
    </row>
    <row r="33" spans="2:14" ht="27" thickTop="1">
      <c r="B33" s="1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5"/>
    </row>
    <row r="34" spans="2:14" s="7" customFormat="1">
      <c r="B34" s="14"/>
      <c r="N34" s="15"/>
    </row>
    <row r="35" spans="2:14">
      <c r="B35" s="14"/>
      <c r="C35" s="7" t="s">
        <v>225</v>
      </c>
      <c r="D35" s="490" t="s">
        <v>416</v>
      </c>
      <c r="E35" s="490"/>
      <c r="F35" s="490"/>
      <c r="G35" s="490"/>
      <c r="H35" s="490"/>
      <c r="I35" s="490"/>
      <c r="J35" s="490"/>
      <c r="K35" s="490"/>
      <c r="L35" s="490"/>
      <c r="M35" s="490"/>
      <c r="N35" s="15"/>
    </row>
    <row r="36" spans="2:14">
      <c r="B36" s="14"/>
      <c r="C36" s="7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15"/>
    </row>
    <row r="37" spans="2:14" ht="27" thickBot="1">
      <c r="B37" s="14"/>
      <c r="C37" s="7"/>
      <c r="D37" s="335"/>
      <c r="E37" s="335"/>
      <c r="F37" s="335"/>
      <c r="G37" s="335"/>
      <c r="H37" s="335"/>
      <c r="I37" s="335"/>
      <c r="J37" s="332" t="str">
        <f>J29</f>
        <v>29/12/92</v>
      </c>
      <c r="K37" s="335"/>
      <c r="L37" s="335"/>
      <c r="M37" s="335"/>
      <c r="N37" s="15"/>
    </row>
    <row r="38" spans="2:14">
      <c r="B38" s="14"/>
      <c r="C38" s="7"/>
      <c r="D38" s="335"/>
      <c r="E38" s="335"/>
      <c r="F38" s="335"/>
      <c r="G38" s="335"/>
      <c r="H38" s="335"/>
      <c r="I38" s="335"/>
      <c r="J38" s="333" t="s">
        <v>207</v>
      </c>
      <c r="K38" s="335"/>
      <c r="L38" s="335"/>
      <c r="M38" s="335"/>
      <c r="N38" s="15"/>
    </row>
    <row r="39" spans="2:14" ht="27" thickBot="1">
      <c r="B39" s="14"/>
      <c r="C39" s="7"/>
      <c r="D39" s="335"/>
      <c r="E39" s="335"/>
      <c r="F39" s="335" t="s">
        <v>273</v>
      </c>
      <c r="G39" s="335"/>
      <c r="H39" s="335"/>
      <c r="I39" s="335"/>
      <c r="J39" s="55">
        <v>750000000</v>
      </c>
      <c r="K39" s="335"/>
      <c r="L39" s="335"/>
      <c r="M39" s="335"/>
      <c r="N39" s="15"/>
    </row>
    <row r="40" spans="2:14" ht="27.75" thickTop="1" thickBot="1">
      <c r="B40" s="14"/>
      <c r="C40" s="7"/>
      <c r="D40" s="335"/>
      <c r="E40" s="335"/>
      <c r="F40" s="335" t="s">
        <v>12</v>
      </c>
      <c r="G40" s="335"/>
      <c r="H40" s="335"/>
      <c r="I40" s="335"/>
      <c r="J40" s="56">
        <f>SUM(J38:J39)</f>
        <v>750000000</v>
      </c>
      <c r="K40" s="335"/>
      <c r="L40" s="335"/>
      <c r="M40" s="335"/>
      <c r="N40" s="15"/>
    </row>
    <row r="41" spans="2:14" ht="27" thickTop="1">
      <c r="B41" s="1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5"/>
    </row>
    <row r="42" spans="2:14"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5"/>
    </row>
    <row r="43" spans="2:14" s="7" customFormat="1">
      <c r="B43" s="14"/>
      <c r="C43" s="7" t="s">
        <v>222</v>
      </c>
      <c r="D43" s="491" t="s">
        <v>504</v>
      </c>
      <c r="E43" s="491"/>
      <c r="F43" s="491"/>
      <c r="G43" s="491"/>
      <c r="H43" s="491"/>
      <c r="I43" s="491"/>
      <c r="J43" s="491"/>
      <c r="K43" s="491"/>
      <c r="L43" s="491"/>
      <c r="M43" s="491"/>
      <c r="N43" s="15"/>
    </row>
    <row r="44" spans="2:14">
      <c r="B44" s="14"/>
      <c r="C44" s="7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15"/>
    </row>
    <row r="45" spans="2:14" ht="27" thickBot="1">
      <c r="B45" s="14"/>
      <c r="C45" s="7"/>
      <c r="D45" s="7"/>
      <c r="E45" s="7"/>
      <c r="F45" s="7"/>
      <c r="G45" s="7"/>
      <c r="H45" s="7"/>
      <c r="I45" s="7"/>
      <c r="J45" s="332" t="str">
        <f>J37</f>
        <v>29/12/92</v>
      </c>
      <c r="K45" s="7"/>
      <c r="L45" s="7"/>
      <c r="M45" s="7"/>
      <c r="N45" s="15"/>
    </row>
    <row r="46" spans="2:14">
      <c r="B46" s="14"/>
      <c r="C46" s="7"/>
      <c r="D46" s="7"/>
      <c r="E46" s="7"/>
      <c r="F46" s="7"/>
      <c r="G46" s="7"/>
      <c r="H46" s="7"/>
      <c r="I46" s="7"/>
      <c r="J46" s="333" t="s">
        <v>207</v>
      </c>
      <c r="K46" s="7"/>
      <c r="L46" s="7"/>
      <c r="M46" s="7"/>
      <c r="N46" s="15"/>
    </row>
    <row r="47" spans="2:14">
      <c r="B47" s="14"/>
      <c r="C47" s="7"/>
      <c r="D47" s="7"/>
      <c r="E47" s="7"/>
      <c r="F47" s="7" t="s">
        <v>216</v>
      </c>
      <c r="G47" s="325" t="s">
        <v>223</v>
      </c>
      <c r="H47" s="7"/>
      <c r="I47" s="7"/>
      <c r="J47" s="7">
        <f>sheet2!S22</f>
        <v>910000000</v>
      </c>
      <c r="K47" s="7"/>
      <c r="L47" s="7"/>
      <c r="M47" s="7"/>
      <c r="N47" s="15"/>
    </row>
    <row r="48" spans="2:14" ht="27" thickBot="1">
      <c r="B48" s="14"/>
      <c r="C48" s="7"/>
      <c r="D48" s="7"/>
      <c r="E48" s="7"/>
      <c r="F48" s="7" t="s">
        <v>217</v>
      </c>
      <c r="G48" s="325" t="s">
        <v>224</v>
      </c>
      <c r="H48" s="7"/>
      <c r="I48" s="7"/>
      <c r="J48" s="7">
        <f>sheet2!S32</f>
        <v>226000000</v>
      </c>
      <c r="K48" s="7"/>
      <c r="L48" s="7"/>
      <c r="M48" s="7"/>
      <c r="N48" s="15"/>
    </row>
    <row r="49" spans="2:14" ht="27" thickBot="1">
      <c r="B49" s="14"/>
      <c r="C49" s="7"/>
      <c r="D49" s="7"/>
      <c r="E49" s="7"/>
      <c r="F49" s="7"/>
      <c r="G49" s="7"/>
      <c r="H49" s="7"/>
      <c r="I49" s="7"/>
      <c r="J49" s="4">
        <f>SUM(J47:J48)</f>
        <v>1136000000</v>
      </c>
      <c r="K49" s="7"/>
      <c r="L49" s="7"/>
      <c r="M49" s="7"/>
      <c r="N49" s="15"/>
    </row>
    <row r="50" spans="2:14" ht="27" thickTop="1"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5"/>
    </row>
    <row r="51" spans="2:14" s="7" customFormat="1">
      <c r="B51" s="14"/>
      <c r="C51" s="7" t="s">
        <v>232</v>
      </c>
      <c r="D51" s="489" t="s">
        <v>428</v>
      </c>
      <c r="E51" s="489"/>
      <c r="F51" s="489"/>
      <c r="G51" s="489"/>
      <c r="H51" s="489"/>
      <c r="I51" s="489"/>
      <c r="J51" s="489"/>
      <c r="K51" s="489"/>
      <c r="L51" s="489"/>
      <c r="M51" s="489"/>
      <c r="N51" s="15"/>
    </row>
    <row r="52" spans="2:14">
      <c r="B52" s="14"/>
      <c r="C52" s="7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15"/>
    </row>
    <row r="53" spans="2:14" ht="27" thickBot="1">
      <c r="B53" s="14"/>
      <c r="C53" s="7"/>
      <c r="D53" s="324"/>
      <c r="E53" s="324"/>
      <c r="F53" s="324"/>
      <c r="G53" s="324"/>
      <c r="H53" s="324"/>
      <c r="I53" s="324"/>
      <c r="J53" s="336" t="str">
        <f>J45</f>
        <v>29/12/92</v>
      </c>
      <c r="K53" s="324"/>
      <c r="L53" s="324"/>
      <c r="M53" s="324"/>
      <c r="N53" s="15"/>
    </row>
    <row r="54" spans="2:14" ht="27" thickTop="1">
      <c r="B54" s="14"/>
      <c r="C54" s="7"/>
      <c r="D54" s="324"/>
      <c r="E54" s="324"/>
      <c r="F54" s="324"/>
      <c r="G54" s="324"/>
      <c r="H54" s="324"/>
      <c r="I54" s="324"/>
      <c r="J54" s="333" t="s">
        <v>338</v>
      </c>
      <c r="K54" s="324"/>
      <c r="L54" s="324"/>
      <c r="M54" s="324"/>
      <c r="N54" s="15"/>
    </row>
    <row r="55" spans="2:14" ht="27" thickBot="1">
      <c r="B55" s="14"/>
      <c r="C55" s="7"/>
      <c r="D55" s="324"/>
      <c r="E55" s="324"/>
      <c r="F55" s="489" t="s">
        <v>339</v>
      </c>
      <c r="G55" s="489"/>
      <c r="H55" s="489"/>
      <c r="I55" s="324"/>
      <c r="J55" s="324">
        <f>sheet2!M51</f>
        <v>45400000000</v>
      </c>
      <c r="K55" s="324"/>
      <c r="L55" s="324"/>
      <c r="M55" s="324"/>
      <c r="N55" s="15"/>
    </row>
    <row r="56" spans="2:14" ht="27" thickBot="1">
      <c r="B56" s="14"/>
      <c r="C56" s="7"/>
      <c r="D56" s="7"/>
      <c r="E56" s="7"/>
      <c r="F56" s="7" t="s">
        <v>12</v>
      </c>
      <c r="G56" s="7"/>
      <c r="H56" s="7"/>
      <c r="I56" s="7"/>
      <c r="J56" s="4">
        <f>SUM(J55)</f>
        <v>45400000000</v>
      </c>
      <c r="K56" s="7"/>
      <c r="L56" s="7"/>
      <c r="M56" s="7"/>
      <c r="N56" s="15"/>
    </row>
    <row r="57" spans="2:14" ht="27" thickTop="1"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5"/>
    </row>
    <row r="58" spans="2:14" s="7" customFormat="1">
      <c r="B58" s="14"/>
      <c r="C58" s="7" t="s">
        <v>233</v>
      </c>
      <c r="D58" s="489" t="s">
        <v>429</v>
      </c>
      <c r="E58" s="489"/>
      <c r="F58" s="489"/>
      <c r="G58" s="489"/>
      <c r="H58" s="489"/>
      <c r="I58" s="489"/>
      <c r="J58" s="489"/>
      <c r="K58" s="489"/>
      <c r="L58" s="489"/>
      <c r="M58" s="489"/>
      <c r="N58" s="15"/>
    </row>
    <row r="59" spans="2:14">
      <c r="B59" s="14"/>
      <c r="C59" s="7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15"/>
    </row>
    <row r="60" spans="2:14" ht="27" thickBot="1">
      <c r="B60" s="14"/>
      <c r="C60" s="7"/>
      <c r="D60" s="324"/>
      <c r="E60" s="324"/>
      <c r="F60" s="324"/>
      <c r="G60" s="324"/>
      <c r="H60" s="324"/>
      <c r="I60" s="324"/>
      <c r="J60" s="332" t="str">
        <f>J53</f>
        <v>29/12/92</v>
      </c>
      <c r="K60" s="324"/>
      <c r="L60" s="324"/>
      <c r="M60" s="324"/>
      <c r="N60" s="15"/>
    </row>
    <row r="61" spans="2:14">
      <c r="B61" s="14"/>
      <c r="C61" s="7"/>
      <c r="D61" s="324"/>
      <c r="E61" s="324"/>
      <c r="F61" s="324"/>
      <c r="G61" s="324"/>
      <c r="H61" s="324"/>
      <c r="I61" s="324"/>
      <c r="J61" s="333" t="s">
        <v>207</v>
      </c>
      <c r="K61" s="324"/>
      <c r="L61" s="324"/>
      <c r="M61" s="324"/>
      <c r="N61" s="15"/>
    </row>
    <row r="62" spans="2:14" ht="27" thickBot="1">
      <c r="B62" s="14"/>
      <c r="C62" s="7"/>
      <c r="D62" s="324"/>
      <c r="E62" s="324"/>
      <c r="F62" s="324" t="s">
        <v>274</v>
      </c>
      <c r="G62" s="324"/>
      <c r="H62" s="324"/>
      <c r="I62" s="324"/>
      <c r="J62" s="325">
        <v>679250000</v>
      </c>
      <c r="K62" s="324"/>
      <c r="L62" s="324"/>
      <c r="M62" s="324"/>
      <c r="N62" s="15"/>
    </row>
    <row r="63" spans="2:14" ht="27" thickBot="1">
      <c r="B63" s="14"/>
      <c r="C63" s="7"/>
      <c r="D63" s="7"/>
      <c r="E63" s="7"/>
      <c r="F63" s="7" t="s">
        <v>12</v>
      </c>
      <c r="G63" s="7"/>
      <c r="H63" s="7"/>
      <c r="I63" s="7"/>
      <c r="J63" s="70">
        <f>SUM(J62)</f>
        <v>679250000</v>
      </c>
      <c r="K63" s="7"/>
      <c r="L63" s="7"/>
      <c r="M63" s="7"/>
      <c r="N63" s="15"/>
    </row>
    <row r="64" spans="2:14" ht="27" thickTop="1">
      <c r="B64" s="14"/>
      <c r="C64" s="7"/>
      <c r="D64" s="7"/>
      <c r="E64" s="7"/>
      <c r="F64" s="7"/>
      <c r="G64" s="7"/>
      <c r="H64" s="7"/>
      <c r="I64" s="7"/>
      <c r="K64" s="7"/>
      <c r="L64" s="7"/>
      <c r="M64" s="7"/>
      <c r="N64" s="15"/>
    </row>
    <row r="65" spans="2:14">
      <c r="B65" s="14"/>
      <c r="C65" s="7" t="s">
        <v>234</v>
      </c>
      <c r="D65" s="489" t="s">
        <v>489</v>
      </c>
      <c r="E65" s="489"/>
      <c r="F65" s="489"/>
      <c r="G65" s="489"/>
      <c r="H65" s="489"/>
      <c r="I65" s="489"/>
      <c r="J65" s="489"/>
      <c r="K65" s="489"/>
      <c r="L65" s="489"/>
      <c r="M65" s="489"/>
      <c r="N65" s="15"/>
    </row>
    <row r="66" spans="2:14" ht="27" thickBot="1">
      <c r="B66" s="14"/>
      <c r="C66" s="7"/>
      <c r="D66" s="324"/>
      <c r="E66" s="324"/>
      <c r="F66" s="324"/>
      <c r="G66" s="324"/>
      <c r="H66" s="324"/>
      <c r="I66" s="324"/>
      <c r="J66" s="325" t="str">
        <f>J60</f>
        <v>29/12/92</v>
      </c>
      <c r="K66" s="324"/>
      <c r="L66" s="324"/>
      <c r="M66" s="324"/>
      <c r="N66" s="15"/>
    </row>
    <row r="67" spans="2:14" ht="27" thickTop="1">
      <c r="B67" s="14"/>
      <c r="C67" s="7"/>
      <c r="D67" s="324"/>
      <c r="E67" s="324"/>
      <c r="F67" s="324"/>
      <c r="G67" s="324"/>
      <c r="H67" s="324"/>
      <c r="I67" s="324"/>
      <c r="J67" s="337" t="s">
        <v>338</v>
      </c>
      <c r="K67" s="324"/>
      <c r="L67" s="324"/>
      <c r="M67" s="324"/>
      <c r="N67" s="15"/>
    </row>
    <row r="68" spans="2:14" ht="27" thickBot="1">
      <c r="B68" s="14"/>
      <c r="C68" s="7"/>
      <c r="D68" s="324"/>
      <c r="E68" s="324"/>
      <c r="F68" s="324" t="s">
        <v>340</v>
      </c>
      <c r="G68" s="324"/>
      <c r="H68" s="324"/>
      <c r="I68" s="324"/>
      <c r="J68" s="325">
        <v>4649500000</v>
      </c>
      <c r="K68" s="324"/>
      <c r="L68" s="324"/>
      <c r="M68" s="324"/>
      <c r="N68" s="15"/>
    </row>
    <row r="69" spans="2:14" ht="27" thickBot="1">
      <c r="B69" s="14"/>
      <c r="C69" s="7"/>
      <c r="D69" s="324"/>
      <c r="E69" s="324"/>
      <c r="F69" s="324" t="s">
        <v>12</v>
      </c>
      <c r="G69" s="324"/>
      <c r="H69" s="324"/>
      <c r="I69" s="324"/>
      <c r="J69" s="70">
        <f>SUM(J68)</f>
        <v>4649500000</v>
      </c>
      <c r="K69" s="324"/>
      <c r="L69" s="324"/>
      <c r="M69" s="324"/>
      <c r="N69" s="15"/>
    </row>
    <row r="70" spans="2:14" ht="27" thickTop="1">
      <c r="B70" s="1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5"/>
    </row>
    <row r="71" spans="2:14">
      <c r="B71" s="1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5"/>
    </row>
    <row r="72" spans="2:14" ht="60.75" customHeight="1">
      <c r="B72" s="14"/>
      <c r="C72" s="16" t="s">
        <v>239</v>
      </c>
      <c r="D72" s="490" t="s">
        <v>490</v>
      </c>
      <c r="E72" s="490"/>
      <c r="F72" s="490"/>
      <c r="G72" s="490"/>
      <c r="H72" s="490"/>
      <c r="I72" s="490"/>
      <c r="J72" s="490"/>
      <c r="K72" s="490"/>
      <c r="L72" s="490"/>
      <c r="M72" s="490"/>
      <c r="N72" s="15"/>
    </row>
    <row r="73" spans="2:14" ht="27.75" customHeight="1" thickBot="1">
      <c r="B73" s="14"/>
      <c r="C73" s="16"/>
      <c r="D73" s="335"/>
      <c r="E73" s="335"/>
      <c r="F73" s="335"/>
      <c r="G73" s="335"/>
      <c r="H73" s="335"/>
      <c r="I73" s="335"/>
      <c r="J73" s="332" t="str">
        <f>J66</f>
        <v>29/12/92</v>
      </c>
      <c r="K73" s="335"/>
      <c r="L73" s="335"/>
      <c r="M73" s="335"/>
      <c r="N73" s="15"/>
    </row>
    <row r="74" spans="2:14" ht="20.25" customHeight="1">
      <c r="B74" s="14"/>
      <c r="C74" s="16"/>
      <c r="D74" s="335"/>
      <c r="E74" s="335"/>
      <c r="F74" s="335"/>
      <c r="G74" s="335"/>
      <c r="H74" s="335"/>
      <c r="I74" s="335"/>
      <c r="J74" s="333" t="s">
        <v>207</v>
      </c>
      <c r="K74" s="335"/>
      <c r="L74" s="335"/>
      <c r="M74" s="335"/>
      <c r="N74" s="15"/>
    </row>
    <row r="75" spans="2:14" ht="33.75" customHeight="1" thickBot="1">
      <c r="B75" s="14"/>
      <c r="C75" s="16"/>
      <c r="D75" s="335"/>
      <c r="E75" s="335"/>
      <c r="F75" s="335" t="s">
        <v>275</v>
      </c>
      <c r="G75" s="335"/>
      <c r="H75" s="335"/>
      <c r="I75" s="335"/>
      <c r="J75" s="325">
        <v>1875000000</v>
      </c>
      <c r="K75" s="335"/>
      <c r="L75" s="335"/>
      <c r="M75" s="335"/>
      <c r="N75" s="15"/>
    </row>
    <row r="76" spans="2:14" ht="27" thickBot="1">
      <c r="B76" s="14"/>
      <c r="C76" s="7"/>
      <c r="D76" s="7"/>
      <c r="E76" s="7"/>
      <c r="F76" s="7" t="s">
        <v>12</v>
      </c>
      <c r="G76" s="7"/>
      <c r="H76" s="7"/>
      <c r="I76" s="7"/>
      <c r="J76" s="70">
        <f>SUM(J75)</f>
        <v>1875000000</v>
      </c>
      <c r="K76" s="7"/>
      <c r="L76" s="7"/>
      <c r="M76" s="7"/>
      <c r="N76" s="15"/>
    </row>
    <row r="77" spans="2:14" ht="27" thickTop="1">
      <c r="B77" s="14"/>
      <c r="C77" s="7"/>
      <c r="D77" s="7"/>
      <c r="E77" s="7"/>
      <c r="F77" s="7"/>
      <c r="G77" s="7"/>
      <c r="H77" s="7"/>
      <c r="I77" s="7"/>
      <c r="J77" s="325"/>
      <c r="K77" s="7"/>
      <c r="L77" s="7"/>
      <c r="M77" s="7"/>
      <c r="N77" s="15"/>
    </row>
    <row r="78" spans="2:14" ht="66" customHeight="1">
      <c r="B78" s="14"/>
      <c r="C78" s="16" t="s">
        <v>240</v>
      </c>
      <c r="D78" s="490" t="s">
        <v>491</v>
      </c>
      <c r="E78" s="490"/>
      <c r="F78" s="490"/>
      <c r="G78" s="490"/>
      <c r="H78" s="490"/>
      <c r="I78" s="490"/>
      <c r="J78" s="490"/>
      <c r="K78" s="490"/>
      <c r="L78" s="490"/>
      <c r="M78" s="490"/>
      <c r="N78" s="15"/>
    </row>
    <row r="79" spans="2:14" ht="31.5" customHeight="1" thickBot="1">
      <c r="B79" s="14"/>
      <c r="C79" s="16"/>
      <c r="D79" s="335"/>
      <c r="E79" s="335"/>
      <c r="F79" s="335"/>
      <c r="G79" s="335"/>
      <c r="H79" s="335"/>
      <c r="I79" s="335"/>
      <c r="J79" s="332" t="str">
        <f>J73</f>
        <v>29/12/92</v>
      </c>
      <c r="K79" s="335"/>
      <c r="L79" s="335"/>
      <c r="M79" s="335"/>
      <c r="N79" s="15"/>
    </row>
    <row r="80" spans="2:14" ht="30" customHeight="1">
      <c r="B80" s="14"/>
      <c r="C80" s="16"/>
      <c r="D80" s="335"/>
      <c r="E80" s="335"/>
      <c r="F80" s="335"/>
      <c r="G80" s="335"/>
      <c r="H80" s="335"/>
      <c r="I80" s="335"/>
      <c r="J80" s="333" t="s">
        <v>207</v>
      </c>
      <c r="K80" s="335"/>
      <c r="L80" s="335"/>
      <c r="M80" s="335"/>
      <c r="N80" s="15"/>
    </row>
    <row r="81" spans="2:14" ht="30" customHeight="1" thickBot="1">
      <c r="B81" s="14"/>
      <c r="C81" s="16"/>
      <c r="D81" s="335"/>
      <c r="E81" s="335"/>
      <c r="F81" s="335"/>
      <c r="G81" s="335"/>
      <c r="H81" s="335"/>
      <c r="I81" s="335"/>
      <c r="J81" s="325">
        <v>562500000</v>
      </c>
      <c r="K81" s="335"/>
      <c r="L81" s="335"/>
      <c r="M81" s="335"/>
      <c r="N81" s="15"/>
    </row>
    <row r="82" spans="2:14" ht="27" thickBot="1">
      <c r="B82" s="14"/>
      <c r="C82" s="7"/>
      <c r="D82" s="7"/>
      <c r="E82" s="7"/>
      <c r="F82" s="7"/>
      <c r="G82" s="7"/>
      <c r="H82" s="7"/>
      <c r="I82" s="7"/>
      <c r="J82" s="70">
        <f>SUM(J81)</f>
        <v>562500000</v>
      </c>
      <c r="K82" s="7"/>
      <c r="L82" s="7"/>
      <c r="M82" s="7"/>
      <c r="N82" s="15"/>
    </row>
    <row r="83" spans="2:14" ht="27" thickTop="1">
      <c r="B83" s="1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5"/>
    </row>
    <row r="84" spans="2:14" s="5" customFormat="1" ht="77.25" customHeight="1" thickBot="1">
      <c r="B84" s="17"/>
      <c r="C84" s="18" t="s">
        <v>251</v>
      </c>
      <c r="D84" s="494" t="s">
        <v>492</v>
      </c>
      <c r="E84" s="494"/>
      <c r="F84" s="494"/>
      <c r="G84" s="494"/>
      <c r="H84" s="494"/>
      <c r="I84" s="494"/>
      <c r="J84" s="494"/>
      <c r="K84" s="494"/>
      <c r="L84" s="494"/>
      <c r="M84" s="494"/>
      <c r="N84" s="19"/>
    </row>
    <row r="85" spans="2:14" ht="27.75" thickTop="1" thickBot="1">
      <c r="B85" s="14"/>
      <c r="C85" s="7"/>
      <c r="D85" s="7"/>
      <c r="E85" s="7"/>
      <c r="F85" s="7"/>
      <c r="G85" s="7"/>
      <c r="H85" s="332" t="str">
        <f>J79</f>
        <v>29/12/92</v>
      </c>
      <c r="I85" s="325"/>
      <c r="J85" s="332" t="str">
        <f>J79</f>
        <v>29/12/92</v>
      </c>
      <c r="K85" s="7"/>
      <c r="L85" s="495" t="s">
        <v>250</v>
      </c>
      <c r="M85" s="496"/>
      <c r="N85" s="15"/>
    </row>
    <row r="86" spans="2:14" ht="27.75" thickTop="1" thickBot="1">
      <c r="B86" s="14"/>
      <c r="C86" s="7"/>
      <c r="D86" s="7"/>
      <c r="E86" s="7"/>
      <c r="G86" s="7"/>
      <c r="H86" s="333" t="s">
        <v>277</v>
      </c>
      <c r="I86" s="325"/>
      <c r="J86" s="333" t="s">
        <v>276</v>
      </c>
      <c r="K86" s="7"/>
      <c r="L86" s="6">
        <f>J88+H88</f>
        <v>15600000000</v>
      </c>
      <c r="M86" s="6" t="s">
        <v>241</v>
      </c>
      <c r="N86" s="15"/>
    </row>
    <row r="87" spans="2:14" ht="27.75" thickTop="1" thickBot="1">
      <c r="B87" s="14"/>
      <c r="C87" s="7"/>
      <c r="D87" s="7"/>
      <c r="E87" s="7"/>
      <c r="F87" s="7"/>
      <c r="G87" s="7"/>
      <c r="H87" s="325">
        <f>J87*5</f>
        <v>13000000000</v>
      </c>
      <c r="I87" s="325"/>
      <c r="J87" s="325">
        <f>2600000000</f>
        <v>2600000000</v>
      </c>
      <c r="K87" s="7"/>
      <c r="L87" s="9">
        <v>0.24</v>
      </c>
      <c r="M87" s="6" t="s">
        <v>242</v>
      </c>
      <c r="N87" s="15"/>
    </row>
    <row r="88" spans="2:14" ht="27.75" thickTop="1" thickBot="1">
      <c r="B88" s="14"/>
      <c r="C88" s="7"/>
      <c r="D88" s="7"/>
      <c r="E88" s="8"/>
      <c r="F88" s="7"/>
      <c r="G88" s="7"/>
      <c r="H88" s="70">
        <f>SUM(H87)</f>
        <v>13000000000</v>
      </c>
      <c r="I88" s="325"/>
      <c r="J88" s="70">
        <f>SUM(J87)</f>
        <v>2600000000</v>
      </c>
      <c r="K88" s="7"/>
      <c r="L88" s="6">
        <v>4</v>
      </c>
      <c r="M88" s="6" t="s">
        <v>243</v>
      </c>
      <c r="N88" s="15"/>
    </row>
    <row r="89" spans="2:14" ht="27.75" thickTop="1" thickBot="1">
      <c r="B89" s="14"/>
      <c r="C89" s="7"/>
      <c r="D89" s="7"/>
      <c r="E89" s="7"/>
      <c r="F89" s="7"/>
      <c r="G89" s="7"/>
      <c r="H89" s="7"/>
      <c r="I89" s="7"/>
      <c r="J89" s="7"/>
      <c r="K89" s="7"/>
      <c r="L89" s="6">
        <v>24</v>
      </c>
      <c r="M89" s="6" t="s">
        <v>244</v>
      </c>
      <c r="N89" s="15"/>
    </row>
    <row r="90" spans="2:14" ht="27.75" thickTop="1" thickBot="1">
      <c r="B90" s="14"/>
      <c r="C90" s="7"/>
      <c r="D90" s="7"/>
      <c r="E90" s="7"/>
      <c r="F90" s="7"/>
      <c r="G90" s="7"/>
      <c r="H90" s="7"/>
      <c r="I90" s="7"/>
      <c r="J90" s="7"/>
      <c r="K90" s="7"/>
      <c r="L90" s="338">
        <f>((L86*L87/L88)*(1+(L87/L88))^L89)/((1+(L87/L88))^L89-1)</f>
        <v>1242992477.7432766</v>
      </c>
      <c r="M90" s="6" t="s">
        <v>245</v>
      </c>
      <c r="N90" s="15"/>
    </row>
    <row r="91" spans="2:14" ht="27.75" thickTop="1" thickBot="1">
      <c r="B91" s="14"/>
      <c r="C91" s="7"/>
      <c r="D91" s="7"/>
      <c r="E91" s="7"/>
      <c r="F91" s="7"/>
      <c r="G91" s="7"/>
      <c r="H91" s="7"/>
      <c r="I91" s="7"/>
      <c r="J91" s="7"/>
      <c r="K91" s="7"/>
      <c r="L91" s="6">
        <f>L90*L89</f>
        <v>29831819465.838638</v>
      </c>
      <c r="M91" s="6" t="s">
        <v>246</v>
      </c>
      <c r="N91" s="15"/>
    </row>
    <row r="92" spans="2:14" ht="27.75" thickTop="1" thickBot="1">
      <c r="B92" s="14"/>
      <c r="C92" s="7"/>
      <c r="D92" s="7"/>
      <c r="E92" s="7"/>
      <c r="F92" s="7"/>
      <c r="G92" s="7"/>
      <c r="H92" s="7"/>
      <c r="I92" s="7"/>
      <c r="J92" s="7"/>
      <c r="K92" s="7"/>
      <c r="L92" s="338">
        <f>L86/L89</f>
        <v>650000000</v>
      </c>
      <c r="M92" s="10" t="s">
        <v>247</v>
      </c>
      <c r="N92" s="15"/>
    </row>
    <row r="93" spans="2:14" ht="27.75" thickTop="1" thickBot="1">
      <c r="B93" s="14"/>
      <c r="C93" s="7"/>
      <c r="D93" s="7"/>
      <c r="E93" s="7"/>
      <c r="F93" s="7"/>
      <c r="G93" s="7"/>
      <c r="H93" s="7"/>
      <c r="I93" s="7"/>
      <c r="J93" s="7"/>
      <c r="K93" s="7"/>
      <c r="L93" s="338">
        <f>L90-L92</f>
        <v>592992477.7432766</v>
      </c>
      <c r="M93" s="10" t="s">
        <v>248</v>
      </c>
      <c r="N93" s="15"/>
    </row>
    <row r="94" spans="2:14" ht="27.75" thickTop="1" thickBot="1">
      <c r="B94" s="14"/>
      <c r="C94" s="7"/>
      <c r="D94" s="7"/>
      <c r="E94" s="7"/>
      <c r="F94" s="7"/>
      <c r="G94" s="7"/>
      <c r="H94" s="7"/>
      <c r="I94" s="7"/>
      <c r="J94" s="7"/>
      <c r="K94" s="7"/>
      <c r="L94" s="6">
        <f>L93*L88</f>
        <v>2371969910.9731064</v>
      </c>
      <c r="M94" s="10" t="s">
        <v>249</v>
      </c>
      <c r="N94" s="15"/>
    </row>
    <row r="95" spans="2:14" ht="27" thickTop="1">
      <c r="B95" s="14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5"/>
    </row>
    <row r="96" spans="2:14">
      <c r="B96" s="14"/>
      <c r="C96" s="7" t="s">
        <v>252</v>
      </c>
      <c r="D96" s="491" t="s">
        <v>493</v>
      </c>
      <c r="E96" s="491"/>
      <c r="F96" s="491"/>
      <c r="G96" s="491"/>
      <c r="H96" s="491"/>
      <c r="I96" s="491"/>
      <c r="J96" s="491"/>
      <c r="K96" s="491"/>
      <c r="L96" s="491"/>
      <c r="M96" s="491"/>
      <c r="N96" s="15"/>
    </row>
    <row r="97" spans="2:14">
      <c r="B97" s="14"/>
      <c r="C97" s="7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15"/>
    </row>
    <row r="98" spans="2:14" ht="27" thickBot="1">
      <c r="B98" s="14"/>
      <c r="C98" s="7"/>
      <c r="D98" s="20"/>
      <c r="E98" s="20"/>
      <c r="F98" s="20"/>
      <c r="G98" s="20"/>
      <c r="H98" s="20"/>
      <c r="I98" s="20"/>
      <c r="J98" s="332" t="str">
        <f>J79</f>
        <v>29/12/92</v>
      </c>
      <c r="K98" s="20"/>
      <c r="L98" s="20"/>
      <c r="M98" s="20"/>
      <c r="N98" s="15"/>
    </row>
    <row r="99" spans="2:14">
      <c r="B99" s="14"/>
      <c r="C99" s="7"/>
      <c r="D99" s="20"/>
      <c r="E99" s="20"/>
      <c r="F99" s="20"/>
      <c r="G99" s="20"/>
      <c r="H99" s="20"/>
      <c r="I99" s="20"/>
      <c r="J99" s="333" t="s">
        <v>207</v>
      </c>
      <c r="K99" s="20"/>
      <c r="L99" s="20"/>
      <c r="M99" s="20"/>
      <c r="N99" s="15"/>
    </row>
    <row r="100" spans="2:14" ht="27" thickBot="1">
      <c r="B100" s="14"/>
      <c r="C100" s="7"/>
      <c r="D100" s="20"/>
      <c r="E100" s="20"/>
      <c r="F100" s="20"/>
      <c r="G100" s="20"/>
      <c r="H100" s="20"/>
      <c r="I100" s="20"/>
      <c r="J100" s="55">
        <v>1776000000</v>
      </c>
      <c r="K100" s="20"/>
      <c r="L100" s="20"/>
      <c r="M100" s="20"/>
      <c r="N100" s="15"/>
    </row>
    <row r="101" spans="2:14" ht="27" thickBot="1">
      <c r="B101" s="14"/>
      <c r="C101" s="7"/>
      <c r="D101" s="7"/>
      <c r="E101" s="7"/>
      <c r="F101" s="7"/>
      <c r="G101" s="7"/>
      <c r="H101" s="7"/>
      <c r="I101" s="7"/>
      <c r="J101" s="71">
        <f>SUM(J100)</f>
        <v>1776000000</v>
      </c>
      <c r="K101" s="7"/>
      <c r="L101" s="7"/>
      <c r="M101" s="7"/>
      <c r="N101" s="15"/>
    </row>
    <row r="102" spans="2:14" ht="27" thickTop="1">
      <c r="B102" s="1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5"/>
    </row>
    <row r="103" spans="2:14">
      <c r="B103" s="14"/>
      <c r="C103" s="7" t="s">
        <v>253</v>
      </c>
      <c r="D103" s="7" t="s">
        <v>449</v>
      </c>
      <c r="E103" s="7"/>
      <c r="F103" s="7"/>
      <c r="G103" s="7"/>
      <c r="H103" s="7"/>
      <c r="I103" s="7"/>
      <c r="J103" s="7"/>
      <c r="K103" s="7"/>
      <c r="L103" s="7"/>
      <c r="M103" s="7"/>
      <c r="N103" s="15"/>
    </row>
    <row r="104" spans="2:14">
      <c r="B104" s="14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5"/>
    </row>
    <row r="105" spans="2:14">
      <c r="B105" s="1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5"/>
    </row>
    <row r="106" spans="2:14" ht="27" thickBot="1">
      <c r="B106" s="14"/>
      <c r="C106" s="7"/>
      <c r="D106" s="7"/>
      <c r="E106" s="7"/>
      <c r="F106" s="3" t="s">
        <v>255</v>
      </c>
      <c r="G106" s="7"/>
      <c r="H106" s="7"/>
      <c r="I106" s="7"/>
      <c r="J106" s="332" t="str">
        <f>J98</f>
        <v>29/12/92</v>
      </c>
      <c r="K106" s="7"/>
      <c r="L106" s="315" t="s">
        <v>418</v>
      </c>
      <c r="M106" s="7"/>
      <c r="N106" s="15"/>
    </row>
    <row r="107" spans="2:14" ht="27" thickTop="1">
      <c r="B107" s="14"/>
      <c r="C107" s="7"/>
      <c r="D107" s="7"/>
      <c r="E107" s="7"/>
      <c r="F107" s="7"/>
      <c r="G107" s="7"/>
      <c r="H107" s="7"/>
      <c r="I107" s="7"/>
      <c r="J107" s="333" t="s">
        <v>207</v>
      </c>
      <c r="K107" s="7"/>
      <c r="L107" s="7"/>
      <c r="M107" s="7"/>
      <c r="N107" s="15"/>
    </row>
    <row r="108" spans="2:14">
      <c r="B108" s="14"/>
      <c r="C108" s="7"/>
      <c r="D108" s="7"/>
      <c r="E108" s="7"/>
      <c r="F108" s="325" t="s">
        <v>254</v>
      </c>
      <c r="G108" s="7"/>
      <c r="H108" s="7"/>
      <c r="I108" s="7"/>
      <c r="J108" s="325">
        <v>12000000000</v>
      </c>
      <c r="K108" s="7"/>
      <c r="L108" s="325">
        <f>J108/J$113*100</f>
        <v>43.227665706051873</v>
      </c>
      <c r="M108" s="7"/>
      <c r="N108" s="15"/>
    </row>
    <row r="109" spans="2:14">
      <c r="B109" s="14"/>
      <c r="C109" s="7"/>
      <c r="D109" s="7"/>
      <c r="E109" s="7"/>
      <c r="F109" s="325" t="s">
        <v>256</v>
      </c>
      <c r="G109" s="7"/>
      <c r="H109" s="7"/>
      <c r="I109" s="7"/>
      <c r="J109" s="325">
        <v>8000000000</v>
      </c>
      <c r="K109" s="7"/>
      <c r="L109" s="325">
        <f t="shared" ref="L109:L112" si="0">J109/J$113*100</f>
        <v>28.818443804034583</v>
      </c>
      <c r="M109" s="7"/>
      <c r="N109" s="15"/>
    </row>
    <row r="110" spans="2:14">
      <c r="B110" s="14"/>
      <c r="C110" s="7"/>
      <c r="D110" s="7"/>
      <c r="E110" s="7"/>
      <c r="F110" s="341" t="s">
        <v>494</v>
      </c>
      <c r="G110" s="7"/>
      <c r="H110" s="7"/>
      <c r="I110" s="7"/>
      <c r="J110" s="325">
        <v>4000000000</v>
      </c>
      <c r="K110" s="7"/>
      <c r="L110" s="325">
        <f t="shared" si="0"/>
        <v>14.409221902017292</v>
      </c>
      <c r="M110" s="7"/>
      <c r="N110" s="15"/>
    </row>
    <row r="111" spans="2:14">
      <c r="B111" s="14"/>
      <c r="C111" s="7"/>
      <c r="D111" s="7"/>
      <c r="E111" s="7"/>
      <c r="F111" s="341" t="s">
        <v>495</v>
      </c>
      <c r="G111" s="7"/>
      <c r="H111" s="7"/>
      <c r="I111" s="7"/>
      <c r="J111" s="325">
        <v>2760000000</v>
      </c>
      <c r="K111" s="7"/>
      <c r="L111" s="325">
        <f t="shared" si="0"/>
        <v>9.9423631123919307</v>
      </c>
      <c r="M111" s="7"/>
      <c r="N111" s="15"/>
    </row>
    <row r="112" spans="2:14" ht="27" thickBot="1">
      <c r="B112" s="14"/>
      <c r="C112" s="7"/>
      <c r="D112" s="7"/>
      <c r="E112" s="7"/>
      <c r="F112" s="341" t="s">
        <v>417</v>
      </c>
      <c r="G112" s="7"/>
      <c r="H112" s="7"/>
      <c r="I112" s="7"/>
      <c r="J112" s="325">
        <v>1000000000</v>
      </c>
      <c r="K112" s="7"/>
      <c r="L112" s="325">
        <f t="shared" si="0"/>
        <v>3.6023054755043229</v>
      </c>
      <c r="M112" s="7"/>
      <c r="N112" s="15"/>
    </row>
    <row r="113" spans="2:14" ht="27.75" thickTop="1" thickBot="1">
      <c r="B113" s="14"/>
      <c r="C113" s="7"/>
      <c r="D113" s="7"/>
      <c r="E113" s="7"/>
      <c r="F113" s="7" t="s">
        <v>12</v>
      </c>
      <c r="G113" s="7"/>
      <c r="H113" s="7"/>
      <c r="I113" s="7"/>
      <c r="J113" s="2">
        <f>SUM(J108:J112)</f>
        <v>27760000000</v>
      </c>
      <c r="K113" s="7"/>
      <c r="L113" s="70">
        <f>SUM(L108:L112)</f>
        <v>100</v>
      </c>
      <c r="M113" s="7"/>
      <c r="N113" s="15"/>
    </row>
    <row r="114" spans="2:14" ht="27" thickTop="1">
      <c r="B114" s="1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5"/>
    </row>
    <row r="115" spans="2:14">
      <c r="B115" s="14"/>
      <c r="C115" s="7" t="s">
        <v>278</v>
      </c>
      <c r="D115" s="489" t="s">
        <v>496</v>
      </c>
      <c r="E115" s="489"/>
      <c r="F115" s="489"/>
      <c r="G115" s="489"/>
      <c r="H115" s="489"/>
      <c r="I115" s="489"/>
      <c r="J115" s="489"/>
      <c r="K115" s="489"/>
      <c r="L115" s="489"/>
      <c r="M115" s="489"/>
      <c r="N115" s="15"/>
    </row>
    <row r="116" spans="2:14" ht="27" thickBot="1">
      <c r="B116" s="14"/>
      <c r="C116" s="7"/>
      <c r="D116" s="324"/>
      <c r="E116" s="324"/>
      <c r="F116" s="324"/>
      <c r="G116" s="324"/>
      <c r="H116" s="324"/>
      <c r="I116" s="324"/>
      <c r="J116" s="332" t="str">
        <f>J106</f>
        <v>29/12/92</v>
      </c>
      <c r="K116" s="324"/>
      <c r="L116" s="324"/>
      <c r="M116" s="324"/>
      <c r="N116" s="15"/>
    </row>
    <row r="117" spans="2:14">
      <c r="B117" s="14"/>
      <c r="C117" s="7"/>
      <c r="D117" s="324"/>
      <c r="E117" s="324"/>
      <c r="F117" s="324"/>
      <c r="G117" s="324"/>
      <c r="H117" s="324"/>
      <c r="I117" s="324"/>
      <c r="J117" s="333" t="s">
        <v>207</v>
      </c>
      <c r="K117" s="324"/>
      <c r="L117" s="324"/>
      <c r="M117" s="324"/>
      <c r="N117" s="15"/>
    </row>
    <row r="118" spans="2:14" ht="27" thickBot="1">
      <c r="B118" s="14"/>
      <c r="C118" s="7"/>
      <c r="D118" s="324"/>
      <c r="E118" s="324"/>
      <c r="F118" s="324" t="s">
        <v>281</v>
      </c>
      <c r="G118" s="324"/>
      <c r="H118" s="324"/>
      <c r="I118" s="324"/>
      <c r="J118" s="325">
        <v>4781250000</v>
      </c>
      <c r="K118" s="324"/>
      <c r="L118" s="324"/>
      <c r="M118" s="324"/>
      <c r="N118" s="15"/>
    </row>
    <row r="119" spans="2:14" ht="27" thickBot="1">
      <c r="B119" s="14"/>
      <c r="C119" s="7"/>
      <c r="D119" s="324"/>
      <c r="E119" s="324"/>
      <c r="F119" s="324" t="str">
        <f>F125</f>
        <v>جمع</v>
      </c>
      <c r="G119" s="324"/>
      <c r="H119" s="324"/>
      <c r="I119" s="324"/>
      <c r="J119" s="70">
        <f>SUM(J118)</f>
        <v>4781250000</v>
      </c>
      <c r="K119" s="324"/>
      <c r="L119" s="324"/>
      <c r="M119" s="324"/>
      <c r="N119" s="15"/>
    </row>
    <row r="120" spans="2:14" ht="27" thickTop="1">
      <c r="B120" s="14"/>
      <c r="C120" s="7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15"/>
    </row>
    <row r="121" spans="2:14" ht="53.25" customHeight="1">
      <c r="B121" s="14"/>
      <c r="C121" s="20" t="s">
        <v>279</v>
      </c>
      <c r="D121" s="490" t="s">
        <v>497</v>
      </c>
      <c r="E121" s="490"/>
      <c r="F121" s="490"/>
      <c r="G121" s="490"/>
      <c r="H121" s="490"/>
      <c r="I121" s="490"/>
      <c r="J121" s="490"/>
      <c r="K121" s="490"/>
      <c r="L121" s="490"/>
      <c r="M121" s="490"/>
      <c r="N121" s="15"/>
    </row>
    <row r="122" spans="2:14" ht="27" thickBot="1">
      <c r="B122" s="14"/>
      <c r="C122" s="7"/>
      <c r="D122" s="7"/>
      <c r="E122" s="7"/>
      <c r="F122" s="7"/>
      <c r="G122" s="7"/>
      <c r="H122" s="7"/>
      <c r="I122" s="7"/>
      <c r="J122" s="332" t="str">
        <f>J116</f>
        <v>29/12/92</v>
      </c>
      <c r="K122" s="7"/>
      <c r="L122" s="7"/>
      <c r="M122" s="7"/>
      <c r="N122" s="15"/>
    </row>
    <row r="123" spans="2:14">
      <c r="B123" s="14"/>
      <c r="C123" s="7"/>
      <c r="D123" s="7"/>
      <c r="E123" s="7"/>
      <c r="F123" s="7"/>
      <c r="G123" s="7"/>
      <c r="H123" s="7"/>
      <c r="I123" s="7"/>
      <c r="J123" s="333" t="s">
        <v>207</v>
      </c>
      <c r="K123" s="7"/>
      <c r="L123" s="7"/>
      <c r="M123" s="7"/>
      <c r="N123" s="15"/>
    </row>
    <row r="124" spans="2:14" ht="27" thickBot="1">
      <c r="B124" s="14"/>
      <c r="C124" s="7"/>
      <c r="D124" s="7"/>
      <c r="E124" s="7"/>
      <c r="F124" s="7" t="s">
        <v>280</v>
      </c>
      <c r="G124" s="7"/>
      <c r="H124" s="7"/>
      <c r="I124" s="7"/>
      <c r="J124" s="325">
        <v>281750000</v>
      </c>
      <c r="K124" s="7"/>
      <c r="L124" s="7"/>
      <c r="M124" s="7"/>
      <c r="N124" s="15"/>
    </row>
    <row r="125" spans="2:14" ht="27" thickBot="1">
      <c r="B125" s="14"/>
      <c r="C125" s="7"/>
      <c r="D125" s="7"/>
      <c r="E125" s="7"/>
      <c r="F125" s="7" t="s">
        <v>12</v>
      </c>
      <c r="G125" s="7"/>
      <c r="H125" s="7"/>
      <c r="I125" s="7"/>
      <c r="J125" s="70">
        <f>SUM(J124)</f>
        <v>281750000</v>
      </c>
      <c r="K125" s="7"/>
      <c r="L125" s="7"/>
      <c r="M125" s="7"/>
      <c r="N125" s="15"/>
    </row>
    <row r="126" spans="2:14" ht="27" thickTop="1">
      <c r="B126" s="14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5"/>
    </row>
    <row r="127" spans="2:14">
      <c r="B127" s="14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5"/>
    </row>
    <row r="128" spans="2:14">
      <c r="B128" s="1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5"/>
    </row>
    <row r="129" spans="2:14" ht="27" thickBot="1">
      <c r="B129" s="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2"/>
    </row>
    <row r="130" spans="2:14" ht="27" thickTop="1"/>
  </sheetData>
  <mergeCells count="23">
    <mergeCell ref="D115:M115"/>
    <mergeCell ref="D121:M121"/>
    <mergeCell ref="D2:L3"/>
    <mergeCell ref="D72:M72"/>
    <mergeCell ref="D78:M78"/>
    <mergeCell ref="D84:M84"/>
    <mergeCell ref="L85:M85"/>
    <mergeCell ref="D96:M97"/>
    <mergeCell ref="D21:H21"/>
    <mergeCell ref="D28:M28"/>
    <mergeCell ref="D26:M27"/>
    <mergeCell ref="D5:M5"/>
    <mergeCell ref="F11:H11"/>
    <mergeCell ref="F12:H12"/>
    <mergeCell ref="F13:H13"/>
    <mergeCell ref="D16:M16"/>
    <mergeCell ref="D65:M65"/>
    <mergeCell ref="D17:M17"/>
    <mergeCell ref="D35:M36"/>
    <mergeCell ref="D43:M44"/>
    <mergeCell ref="D51:M51"/>
    <mergeCell ref="D58:M58"/>
    <mergeCell ref="F55:H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8" fitToWidth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V63"/>
  <sheetViews>
    <sheetView topLeftCell="K55" zoomScale="55" zoomScaleNormal="55" workbookViewId="0">
      <selection activeCell="V89" sqref="V89"/>
    </sheetView>
  </sheetViews>
  <sheetFormatPr defaultColWidth="9" defaultRowHeight="26.25"/>
  <cols>
    <col min="1" max="2" width="9" style="57"/>
    <col min="3" max="3" width="9" style="57" customWidth="1"/>
    <col min="4" max="4" width="0.875" style="57" hidden="1" customWidth="1"/>
    <col min="5" max="5" width="29.375" style="57" customWidth="1"/>
    <col min="6" max="6" width="31.375" style="57" bestFit="1" customWidth="1"/>
    <col min="7" max="7" width="18.625" style="57" bestFit="1" customWidth="1"/>
    <col min="8" max="8" width="20.375" style="57" bestFit="1" customWidth="1"/>
    <col min="9" max="9" width="25.125" style="57" bestFit="1" customWidth="1"/>
    <col min="10" max="10" width="20.375" style="57" bestFit="1" customWidth="1"/>
    <col min="11" max="11" width="17.75" style="57" customWidth="1"/>
    <col min="12" max="12" width="27.375" style="57" customWidth="1"/>
    <col min="13" max="13" width="27.375" style="57" bestFit="1" customWidth="1"/>
    <col min="14" max="14" width="20.375" style="57" bestFit="1" customWidth="1"/>
    <col min="15" max="15" width="28.25" style="57" bestFit="1" customWidth="1"/>
    <col min="16" max="16" width="24.25" style="57" bestFit="1" customWidth="1"/>
    <col min="17" max="17" width="28.25" style="57" bestFit="1" customWidth="1"/>
    <col min="18" max="18" width="23.375" style="57" bestFit="1" customWidth="1"/>
    <col min="19" max="19" width="25.125" style="57" bestFit="1" customWidth="1"/>
    <col min="20" max="20" width="23.375" style="57" bestFit="1" customWidth="1"/>
    <col min="21" max="21" width="27.25" style="57" bestFit="1" customWidth="1"/>
    <col min="22" max="22" width="49.75" style="57" bestFit="1" customWidth="1"/>
    <col min="23" max="24" width="9" style="57"/>
    <col min="25" max="25" width="23.375" style="57" bestFit="1" customWidth="1"/>
    <col min="26" max="16384" width="9" style="57"/>
  </cols>
  <sheetData>
    <row r="4" spans="6:22" ht="53.25" customHeight="1">
      <c r="I4" s="499" t="s">
        <v>432</v>
      </c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57" t="s">
        <v>215</v>
      </c>
    </row>
    <row r="5" spans="6:22" ht="53.25" thickBot="1">
      <c r="F5" s="94"/>
      <c r="I5" s="95" t="s">
        <v>12</v>
      </c>
      <c r="J5" s="95" t="s">
        <v>43</v>
      </c>
      <c r="K5" s="95" t="s">
        <v>10</v>
      </c>
      <c r="L5" s="95" t="s">
        <v>286</v>
      </c>
      <c r="M5" s="95" t="s">
        <v>8</v>
      </c>
      <c r="N5" s="95" t="s">
        <v>42</v>
      </c>
      <c r="O5" s="95" t="s">
        <v>6</v>
      </c>
      <c r="P5" s="95" t="s">
        <v>285</v>
      </c>
      <c r="Q5" s="95" t="s">
        <v>4</v>
      </c>
      <c r="R5" s="95" t="s">
        <v>284</v>
      </c>
      <c r="S5" s="95" t="s">
        <v>2</v>
      </c>
      <c r="T5" s="95" t="s">
        <v>283</v>
      </c>
      <c r="U5" s="95" t="s">
        <v>282</v>
      </c>
      <c r="V5" s="339" t="s">
        <v>439</v>
      </c>
    </row>
    <row r="6" spans="6:22" ht="27" thickTop="1">
      <c r="I6" s="96" t="s">
        <v>207</v>
      </c>
    </row>
    <row r="7" spans="6:22">
      <c r="I7" s="57">
        <f>SUM(J7:U7)</f>
        <v>810000000</v>
      </c>
      <c r="P7" s="57">
        <v>150000000</v>
      </c>
      <c r="Q7" s="57">
        <v>150000000</v>
      </c>
      <c r="R7" s="57">
        <v>300000000</v>
      </c>
      <c r="S7" s="57">
        <v>60000000</v>
      </c>
      <c r="T7" s="57">
        <v>100000000</v>
      </c>
      <c r="U7" s="57">
        <v>50000000</v>
      </c>
      <c r="V7" s="57" t="s">
        <v>212</v>
      </c>
    </row>
    <row r="8" spans="6:22">
      <c r="I8" s="57">
        <f t="shared" ref="I8:I9" si="0">SUM(J8:U8)</f>
        <v>1000000000</v>
      </c>
      <c r="R8" s="57">
        <v>600000000</v>
      </c>
      <c r="S8" s="57">
        <v>200000000</v>
      </c>
      <c r="T8" s="57">
        <v>200000000</v>
      </c>
      <c r="V8" s="57" t="s">
        <v>213</v>
      </c>
    </row>
    <row r="9" spans="6:22" ht="27" thickBot="1">
      <c r="I9" s="57">
        <f t="shared" si="0"/>
        <v>190000000</v>
      </c>
      <c r="T9" s="57">
        <v>90000000</v>
      </c>
      <c r="U9" s="57">
        <v>100000000</v>
      </c>
      <c r="V9" s="57" t="s">
        <v>214</v>
      </c>
    </row>
    <row r="10" spans="6:22" ht="27.75" thickTop="1" thickBot="1">
      <c r="I10" s="97">
        <f>SUM(I7:I9)</f>
        <v>2000000000</v>
      </c>
      <c r="J10" s="97">
        <f>SUM(J7:J9)</f>
        <v>0</v>
      </c>
      <c r="K10" s="97">
        <f t="shared" ref="K10:U10" si="1">SUM(K7:K9)</f>
        <v>0</v>
      </c>
      <c r="L10" s="97">
        <f t="shared" si="1"/>
        <v>0</v>
      </c>
      <c r="M10" s="97">
        <f t="shared" si="1"/>
        <v>0</v>
      </c>
      <c r="N10" s="97">
        <f t="shared" si="1"/>
        <v>0</v>
      </c>
      <c r="O10" s="97">
        <f t="shared" si="1"/>
        <v>0</v>
      </c>
      <c r="P10" s="97">
        <f t="shared" si="1"/>
        <v>150000000</v>
      </c>
      <c r="Q10" s="97">
        <f t="shared" si="1"/>
        <v>150000000</v>
      </c>
      <c r="R10" s="97">
        <f t="shared" si="1"/>
        <v>900000000</v>
      </c>
      <c r="S10" s="97">
        <f t="shared" si="1"/>
        <v>260000000</v>
      </c>
      <c r="T10" s="97">
        <f t="shared" si="1"/>
        <v>390000000</v>
      </c>
      <c r="U10" s="97">
        <f t="shared" si="1"/>
        <v>150000000</v>
      </c>
      <c r="V10" s="57" t="s">
        <v>208</v>
      </c>
    </row>
    <row r="11" spans="6:22" ht="27" thickTop="1"/>
    <row r="16" spans="6:22">
      <c r="G16" s="73"/>
      <c r="S16" s="500" t="s">
        <v>524</v>
      </c>
      <c r="T16" s="500"/>
      <c r="U16" s="500"/>
      <c r="V16" s="57" t="s">
        <v>226</v>
      </c>
    </row>
    <row r="17" spans="6:22" ht="27" thickBot="1">
      <c r="F17" s="99"/>
      <c r="G17" s="100"/>
      <c r="S17" s="101" t="s">
        <v>371</v>
      </c>
      <c r="T17" s="101" t="s">
        <v>220</v>
      </c>
      <c r="U17" s="101" t="s">
        <v>13</v>
      </c>
      <c r="V17" s="102" t="s">
        <v>219</v>
      </c>
    </row>
    <row r="18" spans="6:22" ht="27" thickTop="1"/>
    <row r="19" spans="6:22">
      <c r="S19" s="57">
        <f>T19*U19</f>
        <v>600000000</v>
      </c>
      <c r="T19" s="57">
        <v>6000000</v>
      </c>
      <c r="U19" s="57">
        <v>100</v>
      </c>
      <c r="V19" s="326" t="s">
        <v>436</v>
      </c>
    </row>
    <row r="20" spans="6:22">
      <c r="S20" s="326">
        <f>T20*U20</f>
        <v>130000000</v>
      </c>
      <c r="T20" s="57">
        <v>1300000</v>
      </c>
      <c r="U20" s="57">
        <v>100</v>
      </c>
      <c r="V20" s="326" t="s">
        <v>437</v>
      </c>
    </row>
    <row r="21" spans="6:22" ht="27" thickBot="1">
      <c r="S21" s="326">
        <f>T21*U21</f>
        <v>180000000</v>
      </c>
      <c r="T21" s="94">
        <v>9000000</v>
      </c>
      <c r="U21" s="57">
        <v>20</v>
      </c>
      <c r="V21" s="326" t="s">
        <v>438</v>
      </c>
    </row>
    <row r="22" spans="6:22" ht="27.75" thickTop="1" thickBot="1">
      <c r="S22" s="105">
        <f>SUM(S19:S21)</f>
        <v>910000000</v>
      </c>
      <c r="T22" s="106"/>
      <c r="U22" s="105">
        <f>SUM(U19:U21)</f>
        <v>220</v>
      </c>
      <c r="V22" s="57" t="s">
        <v>12</v>
      </c>
    </row>
    <row r="23" spans="6:22" ht="27" thickTop="1"/>
    <row r="24" spans="6:22">
      <c r="G24" s="72"/>
      <c r="S24" s="500" t="s">
        <v>525</v>
      </c>
      <c r="T24" s="500"/>
      <c r="U24" s="500"/>
    </row>
    <row r="25" spans="6:22">
      <c r="V25" s="57" t="s">
        <v>227</v>
      </c>
    </row>
    <row r="27" spans="6:22" ht="27" thickBot="1">
      <c r="F27" s="99"/>
      <c r="G27" s="100"/>
      <c r="S27" s="101" t="s">
        <v>15</v>
      </c>
      <c r="T27" s="101" t="s">
        <v>220</v>
      </c>
      <c r="U27" s="101" t="s">
        <v>13</v>
      </c>
      <c r="V27" s="102" t="s">
        <v>221</v>
      </c>
    </row>
    <row r="28" spans="6:22" ht="27" thickTop="1"/>
    <row r="29" spans="6:22">
      <c r="S29" s="57">
        <f>T29*U29</f>
        <v>180000000</v>
      </c>
      <c r="T29" s="57">
        <v>900000</v>
      </c>
      <c r="U29" s="57">
        <v>200</v>
      </c>
      <c r="V29" s="326" t="s">
        <v>445</v>
      </c>
    </row>
    <row r="30" spans="6:22">
      <c r="S30" s="167">
        <f>T30*U30</f>
        <v>23000000</v>
      </c>
      <c r="T30" s="57">
        <v>230000</v>
      </c>
      <c r="U30" s="98">
        <v>100</v>
      </c>
      <c r="V30" s="326" t="s">
        <v>446</v>
      </c>
    </row>
    <row r="31" spans="6:22" s="326" customFormat="1" ht="27" thickBot="1">
      <c r="S31" s="326">
        <f>T31*U31</f>
        <v>23000000</v>
      </c>
      <c r="T31" s="326">
        <v>920000</v>
      </c>
      <c r="U31" s="326">
        <v>25</v>
      </c>
      <c r="V31" s="326" t="s">
        <v>447</v>
      </c>
    </row>
    <row r="32" spans="6:22" ht="27.75" thickTop="1" thickBot="1">
      <c r="S32" s="97">
        <f>SUM(S29:S31)</f>
        <v>226000000</v>
      </c>
      <c r="T32" s="107"/>
      <c r="U32" s="97">
        <f>SUM(U29:U30)</f>
        <v>300</v>
      </c>
      <c r="V32" s="57" t="s">
        <v>12</v>
      </c>
    </row>
    <row r="33" spans="6:22" ht="27" thickTop="1">
      <c r="S33" s="57">
        <f>S32+S22</f>
        <v>1136000000</v>
      </c>
      <c r="V33" s="342" t="s">
        <v>44</v>
      </c>
    </row>
    <row r="35" spans="6:22">
      <c r="V35" s="57" t="s">
        <v>344</v>
      </c>
    </row>
    <row r="37" spans="6:22" ht="27" thickBot="1">
      <c r="F37" s="57" t="s">
        <v>228</v>
      </c>
      <c r="H37" s="500" t="s">
        <v>229</v>
      </c>
      <c r="I37" s="500"/>
      <c r="J37" s="500"/>
      <c r="K37" s="500"/>
      <c r="L37" s="500"/>
      <c r="M37" s="500"/>
      <c r="N37" s="500"/>
      <c r="O37" s="500"/>
      <c r="P37" s="500"/>
      <c r="Q37" s="500"/>
      <c r="V37" s="57" t="s">
        <v>341</v>
      </c>
    </row>
    <row r="38" spans="6:22" ht="27.75" thickTop="1" thickBot="1">
      <c r="L38" s="505" t="s">
        <v>343</v>
      </c>
      <c r="M38" s="505"/>
      <c r="N38" s="502" t="s">
        <v>342</v>
      </c>
      <c r="O38" s="502"/>
      <c r="P38" s="502"/>
      <c r="Q38" s="503"/>
      <c r="R38" s="501" t="s">
        <v>341</v>
      </c>
      <c r="S38" s="502"/>
      <c r="T38" s="502"/>
      <c r="U38" s="503"/>
      <c r="V38" s="504" t="s">
        <v>95</v>
      </c>
    </row>
    <row r="39" spans="6:22" ht="27.75" thickTop="1" thickBot="1">
      <c r="L39" s="115" t="s">
        <v>426</v>
      </c>
      <c r="M39" s="115" t="s">
        <v>425</v>
      </c>
      <c r="N39" s="110" t="s">
        <v>421</v>
      </c>
      <c r="O39" s="110" t="s">
        <v>287</v>
      </c>
      <c r="P39" s="110" t="s">
        <v>424</v>
      </c>
      <c r="Q39" s="110" t="str">
        <f>U39</f>
        <v>مانده در 92/12/29</v>
      </c>
      <c r="R39" s="109" t="s">
        <v>423</v>
      </c>
      <c r="S39" s="110" t="s">
        <v>388</v>
      </c>
      <c r="T39" s="110" t="s">
        <v>422</v>
      </c>
      <c r="U39" s="111" t="s">
        <v>421</v>
      </c>
      <c r="V39" s="504"/>
    </row>
    <row r="40" spans="6:22" ht="27.75" thickTop="1" thickBot="1">
      <c r="L40" s="103"/>
      <c r="M40" s="103">
        <f>U40-Q40</f>
        <v>4332500000</v>
      </c>
      <c r="N40" s="124"/>
      <c r="O40" s="122"/>
      <c r="P40" s="122"/>
      <c r="Q40" s="123">
        <v>0</v>
      </c>
      <c r="R40" s="121"/>
      <c r="S40" s="122"/>
      <c r="T40" s="122"/>
      <c r="U40" s="123">
        <v>4332500000</v>
      </c>
      <c r="V40" s="108" t="s">
        <v>85</v>
      </c>
    </row>
    <row r="41" spans="6:22" ht="27.75" thickTop="1" thickBot="1">
      <c r="L41" s="104"/>
      <c r="M41" s="103">
        <f t="shared" ref="M41:M51" si="2">U41-Q41</f>
        <v>9450000000</v>
      </c>
      <c r="N41" s="124"/>
      <c r="O41" s="125"/>
      <c r="P41" s="125"/>
      <c r="Q41" s="126">
        <f>U41/10</f>
        <v>1050000000</v>
      </c>
      <c r="R41" s="124"/>
      <c r="S41" s="125"/>
      <c r="T41" s="125"/>
      <c r="U41" s="126">
        <v>10500000000</v>
      </c>
      <c r="V41" s="108" t="s">
        <v>86</v>
      </c>
    </row>
    <row r="42" spans="6:22" ht="27.75" thickTop="1" thickBot="1">
      <c r="L42" s="104"/>
      <c r="M42" s="103">
        <f t="shared" si="2"/>
        <v>6160000000</v>
      </c>
      <c r="N42" s="124"/>
      <c r="O42" s="125"/>
      <c r="P42" s="125"/>
      <c r="Q42" s="126">
        <f>U42*12%</f>
        <v>840000000</v>
      </c>
      <c r="R42" s="124"/>
      <c r="S42" s="125"/>
      <c r="T42" s="125"/>
      <c r="U42" s="126">
        <v>7000000000</v>
      </c>
      <c r="V42" s="108" t="s">
        <v>87</v>
      </c>
    </row>
    <row r="43" spans="6:22" ht="27.75" thickTop="1" thickBot="1">
      <c r="L43" s="104"/>
      <c r="M43" s="103">
        <f t="shared" si="2"/>
        <v>20125000000</v>
      </c>
      <c r="N43" s="124"/>
      <c r="O43" s="125"/>
      <c r="P43" s="125"/>
      <c r="Q43" s="126">
        <f>U43/8</f>
        <v>2875000000</v>
      </c>
      <c r="R43" s="124"/>
      <c r="S43" s="125"/>
      <c r="T43" s="125"/>
      <c r="U43" s="126">
        <v>23000000000</v>
      </c>
      <c r="V43" s="108" t="s">
        <v>88</v>
      </c>
    </row>
    <row r="44" spans="6:22" ht="27.75" thickTop="1" thickBot="1">
      <c r="L44" s="104"/>
      <c r="M44" s="103">
        <f t="shared" si="2"/>
        <v>1170000000</v>
      </c>
      <c r="N44" s="124"/>
      <c r="O44" s="125"/>
      <c r="P44" s="125"/>
      <c r="Q44" s="126">
        <f>U44/10</f>
        <v>130000000</v>
      </c>
      <c r="R44" s="124"/>
      <c r="S44" s="125"/>
      <c r="T44" s="125"/>
      <c r="U44" s="126">
        <v>1300000000</v>
      </c>
      <c r="V44" s="108" t="s">
        <v>93</v>
      </c>
    </row>
    <row r="45" spans="6:22" ht="27.75" thickTop="1" thickBot="1">
      <c r="L45" s="104"/>
      <c r="M45" s="103">
        <f t="shared" si="2"/>
        <v>1312500000</v>
      </c>
      <c r="N45" s="124"/>
      <c r="O45" s="125"/>
      <c r="P45" s="125"/>
      <c r="Q45" s="126">
        <f>U45*25%</f>
        <v>437500000</v>
      </c>
      <c r="R45" s="124"/>
      <c r="S45" s="125"/>
      <c r="T45" s="125"/>
      <c r="U45" s="126">
        <v>1750000000</v>
      </c>
      <c r="V45" s="108" t="s">
        <v>89</v>
      </c>
    </row>
    <row r="46" spans="6:22" ht="27.75" thickTop="1" thickBot="1">
      <c r="L46" s="104"/>
      <c r="M46" s="103">
        <f t="shared" si="2"/>
        <v>750000000</v>
      </c>
      <c r="N46" s="124"/>
      <c r="O46" s="137"/>
      <c r="P46" s="137"/>
      <c r="Q46" s="126">
        <f>U46*25%</f>
        <v>250000000</v>
      </c>
      <c r="R46" s="124"/>
      <c r="S46" s="125"/>
      <c r="T46" s="125"/>
      <c r="U46" s="126">
        <v>1000000000</v>
      </c>
      <c r="V46" s="108" t="s">
        <v>94</v>
      </c>
    </row>
    <row r="47" spans="6:22" ht="27.75" thickTop="1" thickBot="1">
      <c r="L47" s="116"/>
      <c r="M47" s="117">
        <f t="shared" si="2"/>
        <v>43300000000</v>
      </c>
      <c r="N47" s="127"/>
      <c r="O47" s="139"/>
      <c r="P47" s="139"/>
      <c r="Q47" s="139">
        <f>SUM(Q40:Q46)</f>
        <v>5582500000</v>
      </c>
      <c r="R47" s="138"/>
      <c r="S47" s="128"/>
      <c r="T47" s="128"/>
      <c r="U47" s="129">
        <f>SUM(U40:U46)</f>
        <v>48882500000</v>
      </c>
      <c r="V47" s="112" t="s">
        <v>90</v>
      </c>
    </row>
    <row r="48" spans="6:22" ht="27.75" thickTop="1" thickBot="1">
      <c r="L48" s="104"/>
      <c r="M48" s="103">
        <f t="shared" si="2"/>
        <v>2000000000</v>
      </c>
      <c r="N48" s="146"/>
      <c r="O48" s="147"/>
      <c r="P48" s="147"/>
      <c r="Q48" s="148"/>
      <c r="R48" s="124"/>
      <c r="S48" s="125"/>
      <c r="T48" s="125"/>
      <c r="U48" s="126">
        <v>2000000000</v>
      </c>
      <c r="V48" s="108" t="s">
        <v>91</v>
      </c>
    </row>
    <row r="49" spans="6:22" ht="27.75" thickTop="1" thickBot="1">
      <c r="L49" s="104"/>
      <c r="M49" s="103">
        <f t="shared" si="2"/>
        <v>100000000</v>
      </c>
      <c r="N49" s="149"/>
      <c r="O49" s="150"/>
      <c r="P49" s="150"/>
      <c r="Q49" s="151"/>
      <c r="R49" s="124"/>
      <c r="S49" s="130"/>
      <c r="T49" s="130"/>
      <c r="U49" s="131">
        <v>100000000</v>
      </c>
      <c r="V49" s="108" t="s">
        <v>92</v>
      </c>
    </row>
    <row r="50" spans="6:22" ht="27.75" thickTop="1" thickBot="1">
      <c r="L50" s="118"/>
      <c r="M50" s="117">
        <f t="shared" si="2"/>
        <v>2100000000</v>
      </c>
      <c r="N50" s="140">
        <v>0</v>
      </c>
      <c r="O50" s="141">
        <v>0</v>
      </c>
      <c r="P50" s="141">
        <v>0</v>
      </c>
      <c r="Q50" s="142">
        <v>0</v>
      </c>
      <c r="R50" s="127"/>
      <c r="S50" s="132"/>
      <c r="T50" s="132"/>
      <c r="U50" s="133">
        <f>SUM(U48:U49)</f>
        <v>2100000000</v>
      </c>
      <c r="V50" s="113" t="s">
        <v>230</v>
      </c>
    </row>
    <row r="51" spans="6:22" ht="27.75" thickTop="1" thickBot="1">
      <c r="L51" s="119"/>
      <c r="M51" s="120">
        <f t="shared" si="2"/>
        <v>45400000000</v>
      </c>
      <c r="N51" s="143"/>
      <c r="O51" s="144"/>
      <c r="P51" s="144"/>
      <c r="Q51" s="145">
        <f>Q47</f>
        <v>5582500000</v>
      </c>
      <c r="R51" s="134"/>
      <c r="S51" s="135"/>
      <c r="T51" s="135"/>
      <c r="U51" s="136">
        <f>U47+U50</f>
        <v>50982500000</v>
      </c>
      <c r="V51" s="114" t="s">
        <v>231</v>
      </c>
    </row>
    <row r="52" spans="6:22" ht="27" thickTop="1"/>
    <row r="54" spans="6:22">
      <c r="F54" s="57" t="s">
        <v>235</v>
      </c>
    </row>
    <row r="56" spans="6:22" ht="27" thickBot="1">
      <c r="H56" s="499" t="s">
        <v>433</v>
      </c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</row>
    <row r="57" spans="6:22" ht="40.5" customHeight="1" thickBot="1">
      <c r="F57" s="94"/>
      <c r="I57" s="317" t="s">
        <v>12</v>
      </c>
      <c r="J57" s="317" t="s">
        <v>43</v>
      </c>
      <c r="K57" s="317" t="s">
        <v>10</v>
      </c>
      <c r="L57" s="317" t="s">
        <v>286</v>
      </c>
      <c r="M57" s="317" t="s">
        <v>8</v>
      </c>
      <c r="N57" s="317" t="s">
        <v>42</v>
      </c>
      <c r="O57" s="317" t="s">
        <v>6</v>
      </c>
      <c r="P57" s="317" t="s">
        <v>285</v>
      </c>
      <c r="Q57" s="317" t="s">
        <v>345</v>
      </c>
      <c r="R57" s="317" t="s">
        <v>307</v>
      </c>
      <c r="S57" s="317" t="s">
        <v>2</v>
      </c>
      <c r="T57" s="317" t="s">
        <v>283</v>
      </c>
      <c r="U57" s="317" t="s">
        <v>282</v>
      </c>
      <c r="V57" s="317" t="s">
        <v>430</v>
      </c>
    </row>
    <row r="58" spans="6:22" ht="27" thickBot="1">
      <c r="I58" s="153" t="str">
        <f>J58</f>
        <v xml:space="preserve">ريال </v>
      </c>
      <c r="J58" s="154" t="s">
        <v>207</v>
      </c>
      <c r="K58" s="154" t="s">
        <v>207</v>
      </c>
      <c r="L58" s="154" t="s">
        <v>207</v>
      </c>
      <c r="M58" s="154" t="s">
        <v>207</v>
      </c>
      <c r="N58" s="154" t="s">
        <v>207</v>
      </c>
      <c r="O58" s="154" t="s">
        <v>207</v>
      </c>
      <c r="P58" s="154" t="s">
        <v>207</v>
      </c>
      <c r="Q58" s="154" t="s">
        <v>207</v>
      </c>
      <c r="R58" s="154" t="s">
        <v>207</v>
      </c>
      <c r="S58" s="154" t="s">
        <v>207</v>
      </c>
      <c r="T58" s="154" t="s">
        <v>207</v>
      </c>
      <c r="U58" s="154" t="s">
        <v>207</v>
      </c>
      <c r="V58" s="152"/>
    </row>
    <row r="59" spans="6:22" ht="27" thickBot="1">
      <c r="I59" s="152">
        <f>SUM(J59:U59)</f>
        <v>1800000000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>
        <v>300000000</v>
      </c>
      <c r="T59" s="152">
        <v>500000000</v>
      </c>
      <c r="U59" s="152">
        <v>1000000000</v>
      </c>
      <c r="V59" s="152" t="s">
        <v>236</v>
      </c>
    </row>
    <row r="60" spans="6:22" ht="27" thickBot="1">
      <c r="I60" s="152">
        <f t="shared" ref="I60:I62" si="3">SUM(J60:U60)</f>
        <v>800000000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>
        <v>300000000</v>
      </c>
      <c r="T60" s="152">
        <v>300000000</v>
      </c>
      <c r="U60" s="152">
        <v>200000000</v>
      </c>
      <c r="V60" s="152" t="s">
        <v>237</v>
      </c>
    </row>
    <row r="61" spans="6:22" ht="27" thickBot="1">
      <c r="I61" s="152">
        <f t="shared" si="3"/>
        <v>1649500000</v>
      </c>
      <c r="J61" s="152"/>
      <c r="K61" s="152"/>
      <c r="L61" s="152"/>
      <c r="M61" s="152"/>
      <c r="N61" s="152"/>
      <c r="O61" s="152"/>
      <c r="P61" s="152"/>
      <c r="Q61" s="152"/>
      <c r="R61" s="152">
        <v>699500000</v>
      </c>
      <c r="S61" s="152"/>
      <c r="T61" s="152"/>
      <c r="U61" s="152">
        <v>950000000</v>
      </c>
      <c r="V61" s="152" t="s">
        <v>238</v>
      </c>
    </row>
    <row r="62" spans="6:22" s="314" customFormat="1" ht="53.25" thickBot="1">
      <c r="I62" s="152">
        <f t="shared" si="3"/>
        <v>400000000</v>
      </c>
      <c r="J62" s="152"/>
      <c r="K62" s="152"/>
      <c r="L62" s="152"/>
      <c r="M62" s="152"/>
      <c r="N62" s="152"/>
      <c r="O62" s="152"/>
      <c r="P62" s="152"/>
      <c r="Q62" s="152">
        <v>400000000</v>
      </c>
      <c r="R62" s="152"/>
      <c r="S62" s="152"/>
      <c r="T62" s="152"/>
      <c r="U62" s="152"/>
      <c r="V62" s="316" t="s">
        <v>431</v>
      </c>
    </row>
    <row r="63" spans="6:22" ht="27" thickBot="1">
      <c r="I63" s="317">
        <f>SUM(I59:I62)</f>
        <v>4649500000</v>
      </c>
      <c r="J63" s="317">
        <f t="shared" ref="J63:U63" si="4">SUM(J59:J61)</f>
        <v>0</v>
      </c>
      <c r="K63" s="317">
        <f t="shared" si="4"/>
        <v>0</v>
      </c>
      <c r="L63" s="317">
        <f t="shared" si="4"/>
        <v>0</v>
      </c>
      <c r="M63" s="317">
        <f t="shared" si="4"/>
        <v>0</v>
      </c>
      <c r="N63" s="317">
        <f t="shared" si="4"/>
        <v>0</v>
      </c>
      <c r="O63" s="317">
        <f t="shared" si="4"/>
        <v>0</v>
      </c>
      <c r="P63" s="317">
        <f t="shared" si="4"/>
        <v>0</v>
      </c>
      <c r="Q63" s="317">
        <f>SUM(Q59:Q62)</f>
        <v>400000000</v>
      </c>
      <c r="R63" s="317">
        <f t="shared" si="4"/>
        <v>699500000</v>
      </c>
      <c r="S63" s="317">
        <f t="shared" si="4"/>
        <v>600000000</v>
      </c>
      <c r="T63" s="317">
        <f t="shared" si="4"/>
        <v>800000000</v>
      </c>
      <c r="U63" s="317">
        <f t="shared" si="4"/>
        <v>2150000000</v>
      </c>
      <c r="V63" s="317" t="s">
        <v>208</v>
      </c>
    </row>
  </sheetData>
  <mergeCells count="9">
    <mergeCell ref="I4:U4"/>
    <mergeCell ref="S16:U16"/>
    <mergeCell ref="S24:U24"/>
    <mergeCell ref="H56:T56"/>
    <mergeCell ref="H37:Q37"/>
    <mergeCell ref="R38:U38"/>
    <mergeCell ref="V38:V39"/>
    <mergeCell ref="N38:Q38"/>
    <mergeCell ref="L38:M3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N19"/>
  <sheetViews>
    <sheetView rightToLeft="1" topLeftCell="D4" workbookViewId="0">
      <selection activeCell="K8" sqref="K8"/>
    </sheetView>
  </sheetViews>
  <sheetFormatPr defaultRowHeight="14.25"/>
  <cols>
    <col min="5" max="5" width="6.75" bestFit="1" customWidth="1"/>
    <col min="6" max="6" width="23.875" bestFit="1" customWidth="1"/>
    <col min="7" max="7" width="14.75" bestFit="1" customWidth="1"/>
    <col min="8" max="9" width="17.375" customWidth="1"/>
    <col min="10" max="10" width="17.375" bestFit="1" customWidth="1"/>
    <col min="11" max="11" width="13.375" bestFit="1" customWidth="1"/>
    <col min="12" max="13" width="15.75" bestFit="1" customWidth="1"/>
    <col min="14" max="14" width="16.375" bestFit="1" customWidth="1"/>
  </cols>
  <sheetData>
    <row r="2" spans="5:14" ht="14.25" customHeight="1">
      <c r="E2" s="509" t="s">
        <v>363</v>
      </c>
      <c r="F2" s="509"/>
      <c r="G2" s="509"/>
      <c r="H2" s="509"/>
      <c r="I2" s="509"/>
      <c r="J2" s="509"/>
      <c r="K2" s="509"/>
      <c r="L2" s="509"/>
      <c r="M2" s="509"/>
      <c r="N2" s="509"/>
    </row>
    <row r="3" spans="5:14" ht="14.25" customHeight="1">
      <c r="E3" s="509"/>
      <c r="F3" s="509"/>
      <c r="G3" s="509"/>
      <c r="H3" s="509"/>
      <c r="I3" s="509"/>
      <c r="J3" s="509"/>
      <c r="K3" s="509"/>
      <c r="L3" s="509"/>
      <c r="M3" s="509"/>
      <c r="N3" s="509"/>
    </row>
    <row r="4" spans="5:14" ht="15" thickBot="1"/>
    <row r="5" spans="5:14" ht="62.25" thickTop="1" thickBot="1">
      <c r="E5" s="318" t="s">
        <v>336</v>
      </c>
      <c r="F5" s="318" t="s">
        <v>334</v>
      </c>
      <c r="G5" s="318" t="s">
        <v>335</v>
      </c>
      <c r="H5" s="319" t="s">
        <v>502</v>
      </c>
      <c r="I5" s="319" t="s">
        <v>361</v>
      </c>
      <c r="J5" s="319" t="s">
        <v>362</v>
      </c>
      <c r="K5" s="318" t="s">
        <v>220</v>
      </c>
      <c r="L5" s="319" t="s">
        <v>364</v>
      </c>
      <c r="M5" s="319" t="s">
        <v>365</v>
      </c>
      <c r="N5" s="319" t="s">
        <v>366</v>
      </c>
    </row>
    <row r="6" spans="5:14" ht="24.75" thickTop="1" thickBot="1">
      <c r="E6" s="174">
        <v>1</v>
      </c>
      <c r="F6" s="363" t="s">
        <v>501</v>
      </c>
      <c r="G6" s="406"/>
      <c r="H6" s="174">
        <v>3</v>
      </c>
      <c r="I6" s="174">
        <v>1.2</v>
      </c>
      <c r="J6" s="406"/>
      <c r="K6" s="174">
        <v>1200000</v>
      </c>
      <c r="L6" s="174">
        <f>H6*K6</f>
        <v>3600000</v>
      </c>
      <c r="M6" s="224">
        <f>K6*I6</f>
        <v>1440000</v>
      </c>
      <c r="N6" s="407"/>
    </row>
    <row r="7" spans="5:14" ht="24.75" thickTop="1" thickBot="1">
      <c r="E7" s="174">
        <v>2</v>
      </c>
      <c r="F7" s="323" t="s">
        <v>440</v>
      </c>
      <c r="G7" s="406"/>
      <c r="H7" s="174">
        <v>2</v>
      </c>
      <c r="I7" s="174">
        <v>0.7</v>
      </c>
      <c r="J7" s="174">
        <v>1.8</v>
      </c>
      <c r="K7" s="174">
        <v>350000</v>
      </c>
      <c r="L7" s="174">
        <f>H7*K7</f>
        <v>700000</v>
      </c>
      <c r="M7" s="224">
        <f t="shared" ref="M7:M10" si="0">K7*I7</f>
        <v>244999.99999999997</v>
      </c>
      <c r="N7" s="224">
        <f t="shared" ref="N7:N11" si="1">J7*K7</f>
        <v>630000</v>
      </c>
    </row>
    <row r="8" spans="5:14" ht="24.75" thickTop="1" thickBot="1">
      <c r="E8" s="174">
        <v>3</v>
      </c>
      <c r="F8" s="323" t="s">
        <v>441</v>
      </c>
      <c r="G8" s="406"/>
      <c r="H8" s="174">
        <v>15</v>
      </c>
      <c r="I8" s="174">
        <v>1</v>
      </c>
      <c r="J8" s="174">
        <v>8</v>
      </c>
      <c r="K8" s="174">
        <v>15000</v>
      </c>
      <c r="L8" s="174">
        <f>H8*K8</f>
        <v>225000</v>
      </c>
      <c r="M8" s="224">
        <f t="shared" si="0"/>
        <v>15000</v>
      </c>
      <c r="N8" s="224">
        <f t="shared" si="1"/>
        <v>120000</v>
      </c>
    </row>
    <row r="9" spans="5:14" ht="24.75" thickTop="1" thickBot="1">
      <c r="E9" s="174">
        <v>4</v>
      </c>
      <c r="F9" s="323" t="s">
        <v>442</v>
      </c>
      <c r="G9" s="406"/>
      <c r="H9" s="174">
        <v>1</v>
      </c>
      <c r="I9" s="174">
        <v>1</v>
      </c>
      <c r="J9" s="174">
        <v>0</v>
      </c>
      <c r="K9" s="174">
        <v>50000</v>
      </c>
      <c r="L9" s="174">
        <f>H9*K9</f>
        <v>50000</v>
      </c>
      <c r="M9" s="224">
        <f t="shared" si="0"/>
        <v>50000</v>
      </c>
      <c r="N9" s="224">
        <f t="shared" si="1"/>
        <v>0</v>
      </c>
    </row>
    <row r="10" spans="5:14" ht="24.75" thickTop="1" thickBot="1">
      <c r="E10" s="174">
        <v>5</v>
      </c>
      <c r="F10" s="323" t="s">
        <v>443</v>
      </c>
      <c r="G10" s="406"/>
      <c r="H10" s="174">
        <v>1</v>
      </c>
      <c r="I10" s="174">
        <v>1</v>
      </c>
      <c r="J10" s="174">
        <v>1</v>
      </c>
      <c r="K10" s="174">
        <v>250000</v>
      </c>
      <c r="L10" s="313">
        <f t="shared" ref="L10" si="2">H10*K10</f>
        <v>250000</v>
      </c>
      <c r="M10" s="224">
        <f t="shared" si="0"/>
        <v>250000</v>
      </c>
      <c r="N10" s="224">
        <f t="shared" si="1"/>
        <v>250000</v>
      </c>
    </row>
    <row r="11" spans="5:14" ht="24.75" thickTop="1" thickBot="1">
      <c r="E11" s="174">
        <v>6</v>
      </c>
      <c r="F11" s="363" t="s">
        <v>503</v>
      </c>
      <c r="G11" s="406"/>
      <c r="H11" s="406"/>
      <c r="I11" s="406"/>
      <c r="J11" s="174">
        <v>2.2000000000000002</v>
      </c>
      <c r="K11" s="174">
        <v>1500000</v>
      </c>
      <c r="L11" s="406"/>
      <c r="M11" s="407"/>
      <c r="N11" s="224">
        <f t="shared" si="1"/>
        <v>3300000.0000000005</v>
      </c>
    </row>
    <row r="12" spans="5:14" ht="24.75" thickTop="1" thickBot="1">
      <c r="E12" s="174"/>
      <c r="F12" s="406"/>
      <c r="G12" s="406"/>
      <c r="H12" s="406"/>
      <c r="I12" s="406"/>
      <c r="J12" s="406"/>
      <c r="K12" s="406"/>
      <c r="L12" s="406"/>
      <c r="M12" s="407"/>
      <c r="N12" s="407"/>
    </row>
    <row r="13" spans="5:14" ht="24.75" thickTop="1" thickBot="1">
      <c r="E13" s="174"/>
      <c r="F13" s="406"/>
      <c r="G13" s="406"/>
      <c r="H13" s="406"/>
      <c r="I13" s="406"/>
      <c r="J13" s="406"/>
      <c r="K13" s="406"/>
      <c r="L13" s="406"/>
      <c r="M13" s="407"/>
      <c r="N13" s="407"/>
    </row>
    <row r="14" spans="5:14" ht="24.75" thickTop="1" thickBot="1">
      <c r="E14" s="174"/>
      <c r="F14" s="406"/>
      <c r="G14" s="406"/>
      <c r="H14" s="406"/>
      <c r="I14" s="406"/>
      <c r="J14" s="406"/>
      <c r="K14" s="406"/>
      <c r="L14" s="406"/>
      <c r="M14" s="407"/>
      <c r="N14" s="407"/>
    </row>
    <row r="15" spans="5:14" ht="24.75" thickTop="1" thickBot="1">
      <c r="E15" s="174"/>
      <c r="F15" s="406"/>
      <c r="G15" s="406"/>
      <c r="H15" s="406"/>
      <c r="I15" s="406"/>
      <c r="J15" s="406"/>
      <c r="K15" s="406"/>
      <c r="L15" s="406"/>
      <c r="M15" s="407"/>
      <c r="N15" s="407"/>
    </row>
    <row r="16" spans="5:14" ht="24.75" thickTop="1" thickBot="1">
      <c r="E16" s="174"/>
      <c r="F16" s="406"/>
      <c r="G16" s="406"/>
      <c r="H16" s="406"/>
      <c r="I16" s="406"/>
      <c r="J16" s="406"/>
      <c r="K16" s="406"/>
      <c r="L16" s="406"/>
      <c r="M16" s="407"/>
      <c r="N16" s="407"/>
    </row>
    <row r="17" spans="5:14" ht="24.75" thickTop="1" thickBot="1">
      <c r="E17" s="174"/>
      <c r="F17" s="406"/>
      <c r="G17" s="406"/>
      <c r="H17" s="406"/>
      <c r="I17" s="406"/>
      <c r="J17" s="406"/>
      <c r="K17" s="406"/>
      <c r="L17" s="406"/>
      <c r="M17" s="407"/>
      <c r="N17" s="407"/>
    </row>
    <row r="18" spans="5:14" ht="35.25" customHeight="1" thickTop="1" thickBot="1">
      <c r="E18" s="506" t="s">
        <v>231</v>
      </c>
      <c r="F18" s="507"/>
      <c r="G18" s="507"/>
      <c r="H18" s="507"/>
      <c r="I18" s="507"/>
      <c r="J18" s="507"/>
      <c r="K18" s="508"/>
      <c r="L18" s="320">
        <f>SUM(L6:L17)</f>
        <v>4825000</v>
      </c>
      <c r="M18" s="320">
        <f t="shared" ref="M18:N18" si="3">SUM(M6:M17)</f>
        <v>2000000</v>
      </c>
      <c r="N18" s="320">
        <f t="shared" si="3"/>
        <v>4300000</v>
      </c>
    </row>
    <row r="19" spans="5:14" ht="15" thickTop="1"/>
  </sheetData>
  <mergeCells count="2">
    <mergeCell ref="E18:K18"/>
    <mergeCell ref="E2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S54"/>
  <sheetViews>
    <sheetView topLeftCell="L38" workbookViewId="0">
      <selection activeCell="P56" sqref="P56"/>
    </sheetView>
  </sheetViews>
  <sheetFormatPr defaultColWidth="9" defaultRowHeight="23.25"/>
  <cols>
    <col min="1" max="1" width="9" style="171" customWidth="1"/>
    <col min="2" max="2" width="0.75" style="171" customWidth="1"/>
    <col min="3" max="3" width="41" style="171" bestFit="1" customWidth="1"/>
    <col min="4" max="4" width="26.375" style="171" customWidth="1"/>
    <col min="5" max="5" width="28.25" style="171" customWidth="1"/>
    <col min="6" max="6" width="22.125" style="171" customWidth="1"/>
    <col min="7" max="16" width="27" style="171" bestFit="1" customWidth="1"/>
    <col min="17" max="17" width="48.75" style="171" bestFit="1" customWidth="1"/>
    <col min="18" max="18" width="10.125" style="171" customWidth="1"/>
    <col min="19" max="19" width="29.25" style="171" bestFit="1" customWidth="1"/>
    <col min="20" max="16384" width="9" style="171"/>
  </cols>
  <sheetData>
    <row r="3" spans="4:19">
      <c r="Q3" s="74" t="s">
        <v>444</v>
      </c>
    </row>
    <row r="4" spans="4:19" ht="24" thickBot="1"/>
    <row r="5" spans="4:19" ht="24.75" thickTop="1" thickBot="1">
      <c r="D5" s="510" t="s">
        <v>388</v>
      </c>
      <c r="E5" s="185"/>
      <c r="F5" s="186"/>
      <c r="G5" s="417"/>
      <c r="H5" s="517"/>
      <c r="I5" s="517"/>
      <c r="J5" s="517"/>
      <c r="K5" s="517"/>
      <c r="L5" s="517"/>
      <c r="M5" s="517"/>
      <c r="N5" s="517"/>
      <c r="O5" s="517"/>
      <c r="P5" s="415"/>
      <c r="Q5" s="510" t="s">
        <v>288</v>
      </c>
    </row>
    <row r="6" spans="4:19" ht="24.75" thickTop="1" thickBot="1">
      <c r="D6" s="510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510"/>
    </row>
    <row r="7" spans="4:19" ht="24.75" thickTop="1" thickBot="1">
      <c r="D7" s="510"/>
      <c r="E7" s="190" t="s">
        <v>43</v>
      </c>
      <c r="F7" s="190" t="s">
        <v>10</v>
      </c>
      <c r="G7" s="191" t="s">
        <v>286</v>
      </c>
      <c r="H7" s="192" t="s">
        <v>8</v>
      </c>
      <c r="I7" s="192" t="s">
        <v>42</v>
      </c>
      <c r="J7" s="192" t="s">
        <v>6</v>
      </c>
      <c r="K7" s="192" t="s">
        <v>285</v>
      </c>
      <c r="L7" s="192" t="s">
        <v>4</v>
      </c>
      <c r="M7" s="192" t="s">
        <v>307</v>
      </c>
      <c r="N7" s="192" t="s">
        <v>2</v>
      </c>
      <c r="O7" s="192" t="s">
        <v>283</v>
      </c>
      <c r="P7" s="193" t="s">
        <v>282</v>
      </c>
      <c r="Q7" s="510"/>
    </row>
    <row r="8" spans="4:19" ht="24.75" thickTop="1" thickBot="1">
      <c r="D8" s="194">
        <f>P8</f>
        <v>100</v>
      </c>
      <c r="E8" s="194">
        <f t="shared" ref="E8:N8" si="0">F12</f>
        <v>0</v>
      </c>
      <c r="F8" s="194">
        <f t="shared" si="0"/>
        <v>0</v>
      </c>
      <c r="G8" s="194">
        <f t="shared" si="0"/>
        <v>0</v>
      </c>
      <c r="H8" s="194">
        <f t="shared" si="0"/>
        <v>0</v>
      </c>
      <c r="I8" s="194">
        <f t="shared" si="0"/>
        <v>0</v>
      </c>
      <c r="J8" s="194">
        <f t="shared" si="0"/>
        <v>0</v>
      </c>
      <c r="K8" s="194">
        <f t="shared" si="0"/>
        <v>0</v>
      </c>
      <c r="L8" s="194">
        <f t="shared" si="0"/>
        <v>0</v>
      </c>
      <c r="M8" s="194">
        <f t="shared" si="0"/>
        <v>0</v>
      </c>
      <c r="N8" s="194">
        <f t="shared" si="0"/>
        <v>0</v>
      </c>
      <c r="O8" s="194">
        <f>P12</f>
        <v>0</v>
      </c>
      <c r="P8" s="194">
        <f>sheet2!U19</f>
        <v>100</v>
      </c>
      <c r="Q8" s="195" t="s">
        <v>289</v>
      </c>
    </row>
    <row r="9" spans="4:19" ht="24.75" thickTop="1" thickBot="1">
      <c r="D9" s="196">
        <f t="shared" ref="D9:O9" si="1">D10-D8</f>
        <v>-100</v>
      </c>
      <c r="E9" s="196">
        <f t="shared" si="1"/>
        <v>0</v>
      </c>
      <c r="F9" s="196">
        <f t="shared" si="1"/>
        <v>0</v>
      </c>
      <c r="G9" s="196">
        <f t="shared" si="1"/>
        <v>0</v>
      </c>
      <c r="H9" s="196">
        <f t="shared" si="1"/>
        <v>0</v>
      </c>
      <c r="I9" s="196">
        <f t="shared" si="1"/>
        <v>0</v>
      </c>
      <c r="J9" s="196">
        <f t="shared" si="1"/>
        <v>0</v>
      </c>
      <c r="K9" s="196">
        <f t="shared" si="1"/>
        <v>0</v>
      </c>
      <c r="L9" s="196">
        <f t="shared" si="1"/>
        <v>0</v>
      </c>
      <c r="M9" s="196">
        <f t="shared" si="1"/>
        <v>0</v>
      </c>
      <c r="N9" s="196">
        <f t="shared" si="1"/>
        <v>0</v>
      </c>
      <c r="O9" s="196">
        <f t="shared" si="1"/>
        <v>0</v>
      </c>
      <c r="P9" s="196">
        <f>P10-P8</f>
        <v>-100</v>
      </c>
      <c r="Q9" s="195" t="s">
        <v>290</v>
      </c>
    </row>
    <row r="10" spans="4:19" ht="24.75" thickTop="1" thickBot="1">
      <c r="D10" s="197">
        <f t="shared" ref="D10:O10" si="2">D11+D12</f>
        <v>0</v>
      </c>
      <c r="E10" s="197">
        <f t="shared" si="2"/>
        <v>0</v>
      </c>
      <c r="F10" s="197">
        <f t="shared" si="2"/>
        <v>0</v>
      </c>
      <c r="G10" s="197">
        <f t="shared" si="2"/>
        <v>0</v>
      </c>
      <c r="H10" s="197">
        <f t="shared" si="2"/>
        <v>0</v>
      </c>
      <c r="I10" s="197">
        <f t="shared" si="2"/>
        <v>0</v>
      </c>
      <c r="J10" s="197">
        <f t="shared" si="2"/>
        <v>0</v>
      </c>
      <c r="K10" s="197">
        <f t="shared" si="2"/>
        <v>0</v>
      </c>
      <c r="L10" s="197">
        <f t="shared" si="2"/>
        <v>0</v>
      </c>
      <c r="M10" s="197">
        <f t="shared" si="2"/>
        <v>0</v>
      </c>
      <c r="N10" s="197">
        <f t="shared" si="2"/>
        <v>0</v>
      </c>
      <c r="O10" s="197">
        <f t="shared" si="2"/>
        <v>0</v>
      </c>
      <c r="P10" s="197">
        <f>P11+P12</f>
        <v>0</v>
      </c>
      <c r="Q10" s="198" t="s">
        <v>291</v>
      </c>
    </row>
    <row r="11" spans="4:19" ht="24.75" thickTop="1" thickBot="1">
      <c r="D11" s="194">
        <f>'فروش - محصول A'!D7</f>
        <v>0</v>
      </c>
      <c r="E11" s="194">
        <f>'فروش - محصول A'!E7</f>
        <v>0</v>
      </c>
      <c r="F11" s="194">
        <f>'فروش - محصول A'!F7</f>
        <v>0</v>
      </c>
      <c r="G11" s="194">
        <f>'فروش - محصول A'!G7</f>
        <v>0</v>
      </c>
      <c r="H11" s="194">
        <f>'فروش - محصول A'!H7</f>
        <v>0</v>
      </c>
      <c r="I11" s="194">
        <f>'فروش - محصول A'!I7</f>
        <v>0</v>
      </c>
      <c r="J11" s="194">
        <f>'فروش - محصول A'!J7</f>
        <v>0</v>
      </c>
      <c r="K11" s="194">
        <f>'فروش - محصول A'!K7</f>
        <v>0</v>
      </c>
      <c r="L11" s="194">
        <f>'فروش - محصول A'!L7</f>
        <v>0</v>
      </c>
      <c r="M11" s="194">
        <f>'فروش - محصول A'!M7</f>
        <v>0</v>
      </c>
      <c r="N11" s="194">
        <f>'فروش - محصول A'!N7</f>
        <v>0</v>
      </c>
      <c r="O11" s="194">
        <f>'فروش - محصول A'!O7</f>
        <v>0</v>
      </c>
      <c r="P11" s="194">
        <f>'فروش - محصول A'!P7</f>
        <v>0</v>
      </c>
      <c r="Q11" s="195" t="s">
        <v>292</v>
      </c>
    </row>
    <row r="12" spans="4:19" ht="24.75" thickTop="1" thickBot="1">
      <c r="D12" s="194">
        <f>E12</f>
        <v>0</v>
      </c>
      <c r="E12" s="194">
        <f t="shared" ref="E12:O12" si="3">E11*$R12%</f>
        <v>0</v>
      </c>
      <c r="F12" s="194">
        <f t="shared" si="3"/>
        <v>0</v>
      </c>
      <c r="G12" s="194">
        <f t="shared" si="3"/>
        <v>0</v>
      </c>
      <c r="H12" s="194">
        <f t="shared" si="3"/>
        <v>0</v>
      </c>
      <c r="I12" s="194">
        <f t="shared" si="3"/>
        <v>0</v>
      </c>
      <c r="J12" s="194">
        <f t="shared" si="3"/>
        <v>0</v>
      </c>
      <c r="K12" s="194">
        <f t="shared" si="3"/>
        <v>0</v>
      </c>
      <c r="L12" s="194">
        <f t="shared" si="3"/>
        <v>0</v>
      </c>
      <c r="M12" s="194">
        <f t="shared" si="3"/>
        <v>0</v>
      </c>
      <c r="N12" s="194">
        <f t="shared" si="3"/>
        <v>0</v>
      </c>
      <c r="O12" s="194">
        <f t="shared" si="3"/>
        <v>0</v>
      </c>
      <c r="P12" s="194">
        <f>P11*$R12%</f>
        <v>0</v>
      </c>
      <c r="Q12" s="195" t="s">
        <v>293</v>
      </c>
      <c r="R12" s="199">
        <v>5</v>
      </c>
      <c r="S12" s="199" t="s">
        <v>389</v>
      </c>
    </row>
    <row r="13" spans="4:19" ht="24" thickTop="1"/>
    <row r="16" spans="4:19">
      <c r="Q16" s="200" t="s">
        <v>294</v>
      </c>
    </row>
    <row r="19" spans="3:17" ht="24" thickBot="1">
      <c r="Q19" s="201" t="s">
        <v>296</v>
      </c>
    </row>
    <row r="20" spans="3:17" ht="24.75" thickTop="1" thickBot="1">
      <c r="C20" s="515" t="s">
        <v>367</v>
      </c>
      <c r="D20" s="510" t="s">
        <v>391</v>
      </c>
      <c r="E20" s="187">
        <v>1</v>
      </c>
      <c r="F20" s="188">
        <v>1</v>
      </c>
      <c r="G20" s="189">
        <v>1</v>
      </c>
      <c r="H20" s="189">
        <v>1</v>
      </c>
      <c r="I20" s="189">
        <v>1</v>
      </c>
      <c r="J20" s="189">
        <v>1</v>
      </c>
      <c r="K20" s="189">
        <v>1</v>
      </c>
      <c r="L20" s="189">
        <v>1</v>
      </c>
      <c r="M20" s="189">
        <v>1</v>
      </c>
      <c r="N20" s="189">
        <v>1</v>
      </c>
      <c r="O20" s="189">
        <v>1</v>
      </c>
      <c r="P20" s="189">
        <v>1</v>
      </c>
      <c r="Q20" s="199" t="s">
        <v>324</v>
      </c>
    </row>
    <row r="21" spans="3:17" ht="24.75" thickTop="1" thickBot="1">
      <c r="C21" s="515"/>
      <c r="D21" s="510"/>
      <c r="E21" s="193" t="s">
        <v>43</v>
      </c>
      <c r="F21" s="193" t="s">
        <v>10</v>
      </c>
      <c r="G21" s="193" t="s">
        <v>286</v>
      </c>
      <c r="H21" s="193" t="s">
        <v>8</v>
      </c>
      <c r="I21" s="193" t="s">
        <v>42</v>
      </c>
      <c r="J21" s="193" t="s">
        <v>6</v>
      </c>
      <c r="K21" s="193" t="s">
        <v>285</v>
      </c>
      <c r="L21" s="193" t="s">
        <v>4</v>
      </c>
      <c r="M21" s="193" t="s">
        <v>307</v>
      </c>
      <c r="N21" s="193" t="s">
        <v>2</v>
      </c>
      <c r="O21" s="193" t="s">
        <v>283</v>
      </c>
      <c r="P21" s="193" t="s">
        <v>282</v>
      </c>
      <c r="Q21" s="511" t="s">
        <v>295</v>
      </c>
    </row>
    <row r="22" spans="3:17" ht="33" customHeight="1" thickTop="1" thickBot="1">
      <c r="C22" s="516"/>
      <c r="D22" s="199">
        <f>SUM(E22:P22)</f>
        <v>-685500000</v>
      </c>
      <c r="E22" s="202">
        <f t="shared" ref="E22:O22" si="4">E45</f>
        <v>0</v>
      </c>
      <c r="F22" s="202">
        <f t="shared" si="4"/>
        <v>0</v>
      </c>
      <c r="G22" s="202">
        <f t="shared" si="4"/>
        <v>0</v>
      </c>
      <c r="H22" s="202">
        <f t="shared" si="4"/>
        <v>0</v>
      </c>
      <c r="I22" s="202">
        <f t="shared" si="4"/>
        <v>0</v>
      </c>
      <c r="J22" s="202">
        <f t="shared" si="4"/>
        <v>0</v>
      </c>
      <c r="K22" s="202">
        <f t="shared" si="4"/>
        <v>0</v>
      </c>
      <c r="L22" s="202">
        <f t="shared" si="4"/>
        <v>0</v>
      </c>
      <c r="M22" s="202">
        <f t="shared" si="4"/>
        <v>0</v>
      </c>
      <c r="N22" s="202">
        <f t="shared" si="4"/>
        <v>0</v>
      </c>
      <c r="O22" s="202">
        <f t="shared" si="4"/>
        <v>24125000</v>
      </c>
      <c r="P22" s="202">
        <f>P45</f>
        <v>-709625000</v>
      </c>
      <c r="Q22" s="512"/>
    </row>
    <row r="23" spans="3:17" s="206" customFormat="1" ht="7.5" customHeight="1" thickTop="1" thickBot="1"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3:17" ht="24.75" thickTop="1" thickBot="1">
      <c r="C24" s="199"/>
      <c r="D24" s="207">
        <f>SUM(E24:P24)</f>
        <v>0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99" t="s">
        <v>308</v>
      </c>
    </row>
    <row r="25" spans="3:17" ht="24.75" thickTop="1" thickBot="1">
      <c r="C25" s="199"/>
      <c r="D25" s="207">
        <f t="shared" ref="D25:D35" si="5">SUM(E25:P25)</f>
        <v>0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199" t="s">
        <v>309</v>
      </c>
    </row>
    <row r="26" spans="3:17" ht="24.75" thickTop="1" thickBot="1">
      <c r="C26" s="199"/>
      <c r="D26" s="207">
        <f t="shared" si="5"/>
        <v>0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199" t="s">
        <v>310</v>
      </c>
    </row>
    <row r="27" spans="3:17" ht="24.75" thickTop="1" thickBot="1">
      <c r="C27" s="199"/>
      <c r="D27" s="207">
        <f t="shared" si="5"/>
        <v>0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199" t="s">
        <v>311</v>
      </c>
    </row>
    <row r="28" spans="3:17" ht="24.75" thickTop="1" thickBot="1">
      <c r="C28" s="199"/>
      <c r="D28" s="207">
        <f t="shared" si="5"/>
        <v>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199" t="s">
        <v>312</v>
      </c>
    </row>
    <row r="29" spans="3:17" ht="24.75" thickTop="1" thickBot="1">
      <c r="C29" s="199"/>
      <c r="D29" s="207">
        <f t="shared" si="5"/>
        <v>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199" t="s">
        <v>313</v>
      </c>
    </row>
    <row r="30" spans="3:17" ht="24.75" thickTop="1" thickBot="1">
      <c r="C30" s="199"/>
      <c r="D30" s="207">
        <f t="shared" si="5"/>
        <v>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199" t="s">
        <v>314</v>
      </c>
    </row>
    <row r="31" spans="3:17" ht="24.75" thickTop="1" thickBot="1">
      <c r="C31" s="199"/>
      <c r="D31" s="207">
        <f t="shared" si="5"/>
        <v>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199" t="s">
        <v>315</v>
      </c>
    </row>
    <row r="32" spans="3:17" ht="24.75" thickTop="1" thickBot="1">
      <c r="C32" s="199"/>
      <c r="D32" s="207">
        <f t="shared" si="5"/>
        <v>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199" t="s">
        <v>316</v>
      </c>
    </row>
    <row r="33" spans="3:17" ht="24.75" thickTop="1" thickBot="1">
      <c r="C33" s="199"/>
      <c r="D33" s="207">
        <f t="shared" si="5"/>
        <v>0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199" t="s">
        <v>317</v>
      </c>
    </row>
    <row r="34" spans="3:17" ht="24.75" thickTop="1" thickBot="1">
      <c r="C34" s="199"/>
      <c r="D34" s="207">
        <f t="shared" si="5"/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199" t="s">
        <v>318</v>
      </c>
    </row>
    <row r="35" spans="3:17" ht="24.75" thickTop="1" thickBot="1">
      <c r="C35" s="199">
        <f>E22</f>
        <v>0</v>
      </c>
      <c r="D35" s="207">
        <f t="shared" si="5"/>
        <v>0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199" t="s">
        <v>319</v>
      </c>
    </row>
    <row r="36" spans="3:17" ht="48" thickTop="1" thickBot="1">
      <c r="C36" s="209">
        <f t="shared" ref="C36:O36" si="6">SUM(C24:C35)</f>
        <v>0</v>
      </c>
      <c r="D36" s="209">
        <f t="shared" si="6"/>
        <v>0</v>
      </c>
      <c r="E36" s="209">
        <f t="shared" si="6"/>
        <v>0</v>
      </c>
      <c r="F36" s="209">
        <f t="shared" si="6"/>
        <v>0</v>
      </c>
      <c r="G36" s="209">
        <f t="shared" si="6"/>
        <v>0</v>
      </c>
      <c r="H36" s="209">
        <f t="shared" si="6"/>
        <v>0</v>
      </c>
      <c r="I36" s="209">
        <f t="shared" si="6"/>
        <v>0</v>
      </c>
      <c r="J36" s="209">
        <f t="shared" si="6"/>
        <v>0</v>
      </c>
      <c r="K36" s="209">
        <f t="shared" si="6"/>
        <v>0</v>
      </c>
      <c r="L36" s="209">
        <f t="shared" si="6"/>
        <v>0</v>
      </c>
      <c r="M36" s="209">
        <f t="shared" si="6"/>
        <v>0</v>
      </c>
      <c r="N36" s="209">
        <f t="shared" si="6"/>
        <v>0</v>
      </c>
      <c r="O36" s="209">
        <f t="shared" si="6"/>
        <v>0</v>
      </c>
      <c r="P36" s="209">
        <f>SUM(P24:P35)</f>
        <v>0</v>
      </c>
      <c r="Q36" s="210" t="s">
        <v>297</v>
      </c>
    </row>
    <row r="37" spans="3:17" ht="24" thickTop="1"/>
    <row r="38" spans="3:17" ht="24" thickBot="1">
      <c r="Q38" s="211" t="s">
        <v>298</v>
      </c>
    </row>
    <row r="39" spans="3:17" ht="24.75" thickTop="1" thickBot="1">
      <c r="D39" s="212" t="s">
        <v>12</v>
      </c>
      <c r="E39" s="213" t="s">
        <v>43</v>
      </c>
      <c r="F39" s="214" t="s">
        <v>10</v>
      </c>
      <c r="G39" s="214" t="s">
        <v>286</v>
      </c>
      <c r="H39" s="214" t="s">
        <v>8</v>
      </c>
      <c r="I39" s="214" t="s">
        <v>42</v>
      </c>
      <c r="J39" s="214" t="s">
        <v>6</v>
      </c>
      <c r="K39" s="214" t="s">
        <v>285</v>
      </c>
      <c r="L39" s="214" t="s">
        <v>4</v>
      </c>
      <c r="M39" s="214" t="s">
        <v>307</v>
      </c>
      <c r="N39" s="214" t="s">
        <v>2</v>
      </c>
      <c r="O39" s="214" t="s">
        <v>283</v>
      </c>
      <c r="P39" s="214" t="s">
        <v>282</v>
      </c>
      <c r="Q39" s="199" t="s">
        <v>288</v>
      </c>
    </row>
    <row r="40" spans="3:17" ht="24.75" thickTop="1" thickBot="1">
      <c r="C40" s="226"/>
      <c r="D40" s="225"/>
      <c r="E40" s="215"/>
      <c r="F40" s="215"/>
      <c r="G40" s="216"/>
      <c r="H40" s="168"/>
      <c r="I40" s="168"/>
      <c r="J40" s="168"/>
      <c r="K40" s="168"/>
      <c r="L40" s="168"/>
      <c r="M40" s="168"/>
      <c r="N40" s="168"/>
      <c r="O40" s="168"/>
      <c r="P40" s="168"/>
      <c r="Q40" s="217" t="s">
        <v>299</v>
      </c>
    </row>
    <row r="41" spans="3:17" ht="24.75" thickTop="1" thickBot="1">
      <c r="C41" s="227"/>
      <c r="D41" s="225"/>
      <c r="E41" s="215"/>
      <c r="F41" s="215"/>
      <c r="G41" s="216"/>
      <c r="H41" s="168"/>
      <c r="I41" s="168"/>
      <c r="J41" s="168"/>
      <c r="K41" s="168"/>
      <c r="L41" s="168"/>
      <c r="M41" s="168"/>
      <c r="N41" s="168"/>
      <c r="O41" s="168"/>
      <c r="P41" s="168"/>
      <c r="Q41" s="217" t="s">
        <v>300</v>
      </c>
    </row>
    <row r="42" spans="3:17" ht="24.75" thickTop="1" thickBot="1">
      <c r="C42" s="217" t="s">
        <v>392</v>
      </c>
      <c r="D42" s="215">
        <f>P42</f>
        <v>203000000</v>
      </c>
      <c r="E42" s="168">
        <f t="shared" ref="E42:N42" si="7">F54</f>
        <v>0</v>
      </c>
      <c r="F42" s="168">
        <f t="shared" si="7"/>
        <v>0</v>
      </c>
      <c r="G42" s="168">
        <f t="shared" si="7"/>
        <v>0</v>
      </c>
      <c r="H42" s="168">
        <f t="shared" si="7"/>
        <v>0</v>
      </c>
      <c r="I42" s="168">
        <f t="shared" si="7"/>
        <v>0</v>
      </c>
      <c r="J42" s="168">
        <f t="shared" si="7"/>
        <v>0</v>
      </c>
      <c r="K42" s="168">
        <f t="shared" si="7"/>
        <v>0</v>
      </c>
      <c r="L42" s="168">
        <f t="shared" si="7"/>
        <v>0</v>
      </c>
      <c r="M42" s="168">
        <f t="shared" si="7"/>
        <v>0</v>
      </c>
      <c r="N42" s="168">
        <f t="shared" si="7"/>
        <v>0</v>
      </c>
      <c r="O42" s="168">
        <f>P54</f>
        <v>-24125000</v>
      </c>
      <c r="P42" s="168">
        <f>sheet2!S29+sheet2!S30</f>
        <v>203000000</v>
      </c>
      <c r="Q42" s="217" t="s">
        <v>301</v>
      </c>
    </row>
    <row r="43" spans="3:17" ht="24.75" thickTop="1" thickBot="1">
      <c r="C43" s="513"/>
      <c r="D43" s="190"/>
      <c r="E43" s="199"/>
      <c r="F43" s="199"/>
      <c r="G43" s="184"/>
      <c r="H43" s="172"/>
      <c r="I43" s="172"/>
      <c r="J43" s="172"/>
      <c r="K43" s="172"/>
      <c r="L43" s="172"/>
      <c r="M43" s="172"/>
      <c r="N43" s="172"/>
      <c r="O43" s="172"/>
      <c r="P43" s="172"/>
      <c r="Q43" s="218" t="s">
        <v>302</v>
      </c>
    </row>
    <row r="44" spans="3:17" ht="24.75" thickTop="1" thickBot="1">
      <c r="C44" s="514"/>
      <c r="D44" s="190"/>
      <c r="E44" s="199"/>
      <c r="F44" s="199"/>
      <c r="G44" s="184"/>
      <c r="H44" s="172"/>
      <c r="I44" s="172"/>
      <c r="J44" s="172"/>
      <c r="K44" s="172"/>
      <c r="L44" s="172"/>
      <c r="M44" s="172"/>
      <c r="N44" s="172"/>
      <c r="O44" s="172"/>
      <c r="P44" s="172"/>
      <c r="Q44" s="218" t="str">
        <f>Q41</f>
        <v>قيمت واحد - ريال</v>
      </c>
    </row>
    <row r="45" spans="3:17" ht="24" thickBot="1">
      <c r="C45" s="231" t="s">
        <v>393</v>
      </c>
      <c r="D45" s="219">
        <f t="shared" ref="D45:P45" si="8">D48-D42</f>
        <v>-685500000</v>
      </c>
      <c r="E45" s="219">
        <f t="shared" si="8"/>
        <v>0</v>
      </c>
      <c r="F45" s="219">
        <f t="shared" si="8"/>
        <v>0</v>
      </c>
      <c r="G45" s="219">
        <f t="shared" si="8"/>
        <v>0</v>
      </c>
      <c r="H45" s="219">
        <f t="shared" si="8"/>
        <v>0</v>
      </c>
      <c r="I45" s="219">
        <f t="shared" si="8"/>
        <v>0</v>
      </c>
      <c r="J45" s="219">
        <f t="shared" si="8"/>
        <v>0</v>
      </c>
      <c r="K45" s="219">
        <f t="shared" si="8"/>
        <v>0</v>
      </c>
      <c r="L45" s="219">
        <f t="shared" si="8"/>
        <v>0</v>
      </c>
      <c r="M45" s="219">
        <f t="shared" si="8"/>
        <v>0</v>
      </c>
      <c r="N45" s="219">
        <f t="shared" si="8"/>
        <v>0</v>
      </c>
      <c r="O45" s="219">
        <f t="shared" si="8"/>
        <v>24125000</v>
      </c>
      <c r="P45" s="219">
        <f t="shared" si="8"/>
        <v>-709625000</v>
      </c>
      <c r="Q45" s="218" t="s">
        <v>303</v>
      </c>
    </row>
    <row r="46" spans="3:17" ht="24.75" thickTop="1" thickBot="1">
      <c r="C46" s="228"/>
      <c r="D46" s="232"/>
      <c r="E46" s="233"/>
      <c r="F46" s="233"/>
      <c r="G46" s="234"/>
      <c r="H46" s="235"/>
      <c r="I46" s="235"/>
      <c r="J46" s="235"/>
      <c r="K46" s="235"/>
      <c r="L46" s="235"/>
      <c r="M46" s="235"/>
      <c r="N46" s="235"/>
      <c r="O46" s="235"/>
      <c r="P46" s="235"/>
      <c r="Q46" s="236" t="s">
        <v>304</v>
      </c>
    </row>
    <row r="47" spans="3:17" ht="24.75" thickTop="1" thickBot="1">
      <c r="C47" s="227"/>
      <c r="D47" s="232"/>
      <c r="E47" s="233"/>
      <c r="F47" s="233"/>
      <c r="G47" s="234"/>
      <c r="H47" s="235"/>
      <c r="I47" s="235"/>
      <c r="J47" s="235"/>
      <c r="K47" s="235"/>
      <c r="L47" s="235"/>
      <c r="M47" s="235"/>
      <c r="N47" s="235"/>
      <c r="O47" s="235"/>
      <c r="P47" s="235"/>
      <c r="Q47" s="236" t="str">
        <f>Q41</f>
        <v>قيمت واحد - ريال</v>
      </c>
    </row>
    <row r="48" spans="3:17" ht="24" thickBot="1">
      <c r="C48" s="237" t="s">
        <v>394</v>
      </c>
      <c r="D48" s="235">
        <f t="shared" ref="D48:P48" si="9">D51+D54</f>
        <v>-482500000</v>
      </c>
      <c r="E48" s="235">
        <f t="shared" si="9"/>
        <v>0</v>
      </c>
      <c r="F48" s="235">
        <f t="shared" si="9"/>
        <v>0</v>
      </c>
      <c r="G48" s="235">
        <f t="shared" si="9"/>
        <v>0</v>
      </c>
      <c r="H48" s="235">
        <f t="shared" si="9"/>
        <v>0</v>
      </c>
      <c r="I48" s="235">
        <f t="shared" si="9"/>
        <v>0</v>
      </c>
      <c r="J48" s="235">
        <f t="shared" si="9"/>
        <v>0</v>
      </c>
      <c r="K48" s="235">
        <f t="shared" si="9"/>
        <v>0</v>
      </c>
      <c r="L48" s="235">
        <f t="shared" si="9"/>
        <v>0</v>
      </c>
      <c r="M48" s="235">
        <f t="shared" si="9"/>
        <v>0</v>
      </c>
      <c r="N48" s="235">
        <f t="shared" si="9"/>
        <v>0</v>
      </c>
      <c r="O48" s="235">
        <f t="shared" si="9"/>
        <v>0</v>
      </c>
      <c r="P48" s="235">
        <f t="shared" si="9"/>
        <v>-506625000</v>
      </c>
      <c r="Q48" s="237" t="s">
        <v>15</v>
      </c>
    </row>
    <row r="49" spans="3:19" ht="24.75" thickTop="1" thickBot="1">
      <c r="C49" s="513"/>
      <c r="D49" s="190"/>
      <c r="E49" s="199"/>
      <c r="F49" s="199"/>
      <c r="G49" s="184"/>
      <c r="H49" s="172"/>
      <c r="I49" s="172"/>
      <c r="J49" s="172"/>
      <c r="K49" s="172"/>
      <c r="L49" s="172"/>
      <c r="M49" s="172"/>
      <c r="N49" s="172"/>
      <c r="O49" s="172"/>
      <c r="P49" s="172"/>
      <c r="Q49" s="220" t="s">
        <v>305</v>
      </c>
    </row>
    <row r="50" spans="3:19" ht="24.75" thickTop="1" thickBot="1">
      <c r="C50" s="514"/>
      <c r="D50" s="190"/>
      <c r="E50" s="199"/>
      <c r="F50" s="199"/>
      <c r="G50" s="184"/>
      <c r="H50" s="172"/>
      <c r="I50" s="172"/>
      <c r="J50" s="172"/>
      <c r="K50" s="172"/>
      <c r="L50" s="172"/>
      <c r="M50" s="172"/>
      <c r="N50" s="172"/>
      <c r="O50" s="172"/>
      <c r="P50" s="172"/>
      <c r="Q50" s="220" t="str">
        <f>Q44</f>
        <v>قيمت واحد - ريال</v>
      </c>
    </row>
    <row r="51" spans="3:19" ht="24" thickBot="1">
      <c r="C51" s="220" t="s">
        <v>396</v>
      </c>
      <c r="D51" s="219">
        <f>D9*bom!$L18</f>
        <v>-482500000</v>
      </c>
      <c r="E51" s="219">
        <f>E9*bom!$L18</f>
        <v>0</v>
      </c>
      <c r="F51" s="219">
        <f>F9*bom!$L18</f>
        <v>0</v>
      </c>
      <c r="G51" s="219">
        <f>G9*bom!$L18</f>
        <v>0</v>
      </c>
      <c r="H51" s="219">
        <f>H9*bom!$L18</f>
        <v>0</v>
      </c>
      <c r="I51" s="219">
        <f>I9*bom!$L18</f>
        <v>0</v>
      </c>
      <c r="J51" s="219">
        <f>J9*bom!$L18</f>
        <v>0</v>
      </c>
      <c r="K51" s="219">
        <f>K9*bom!$L18</f>
        <v>0</v>
      </c>
      <c r="L51" s="219">
        <f>L9*bom!$L18</f>
        <v>0</v>
      </c>
      <c r="M51" s="219">
        <f>M9*bom!$L18</f>
        <v>0</v>
      </c>
      <c r="N51" s="219">
        <f>N9*bom!$L18</f>
        <v>0</v>
      </c>
      <c r="O51" s="219">
        <f>O9*bom!$L18</f>
        <v>0</v>
      </c>
      <c r="P51" s="219">
        <f>P9*bom!$L18</f>
        <v>-482500000</v>
      </c>
      <c r="Q51" s="220" t="str">
        <f>Q48</f>
        <v>مبلغ</v>
      </c>
    </row>
    <row r="52" spans="3:19" ht="24.75" thickTop="1" thickBot="1">
      <c r="C52" s="228"/>
      <c r="D52" s="229"/>
      <c r="E52" s="221"/>
      <c r="F52" s="221"/>
      <c r="G52" s="173"/>
      <c r="H52" s="157"/>
      <c r="I52" s="157"/>
      <c r="J52" s="157"/>
      <c r="K52" s="157"/>
      <c r="L52" s="157"/>
      <c r="M52" s="157"/>
      <c r="N52" s="157"/>
      <c r="O52" s="157"/>
      <c r="P52" s="157"/>
      <c r="Q52" s="222" t="s">
        <v>306</v>
      </c>
    </row>
    <row r="53" spans="3:19" ht="24.75" thickTop="1" thickBot="1">
      <c r="C53" s="227"/>
      <c r="D53" s="229"/>
      <c r="E53" s="221"/>
      <c r="F53" s="221"/>
      <c r="G53" s="173"/>
      <c r="H53" s="157"/>
      <c r="I53" s="157"/>
      <c r="J53" s="157"/>
      <c r="K53" s="157"/>
      <c r="L53" s="157"/>
      <c r="M53" s="157"/>
      <c r="N53" s="157"/>
      <c r="O53" s="157"/>
      <c r="P53" s="157"/>
      <c r="Q53" s="222" t="str">
        <f>Q50</f>
        <v>قيمت واحد - ريال</v>
      </c>
    </row>
    <row r="54" spans="3:19" ht="24.75" thickTop="1" thickBot="1">
      <c r="C54" s="230" t="s">
        <v>395</v>
      </c>
      <c r="D54" s="221">
        <f>E54</f>
        <v>0</v>
      </c>
      <c r="E54" s="223">
        <f t="shared" ref="E54:O54" si="10">E51*$R54%</f>
        <v>0</v>
      </c>
      <c r="F54" s="223">
        <f t="shared" si="10"/>
        <v>0</v>
      </c>
      <c r="G54" s="223">
        <f t="shared" si="10"/>
        <v>0</v>
      </c>
      <c r="H54" s="223">
        <f t="shared" si="10"/>
        <v>0</v>
      </c>
      <c r="I54" s="223">
        <f t="shared" si="10"/>
        <v>0</v>
      </c>
      <c r="J54" s="223">
        <f t="shared" si="10"/>
        <v>0</v>
      </c>
      <c r="K54" s="223">
        <f t="shared" si="10"/>
        <v>0</v>
      </c>
      <c r="L54" s="223">
        <f t="shared" si="10"/>
        <v>0</v>
      </c>
      <c r="M54" s="223">
        <f t="shared" si="10"/>
        <v>0</v>
      </c>
      <c r="N54" s="223">
        <f t="shared" si="10"/>
        <v>0</v>
      </c>
      <c r="O54" s="223">
        <f t="shared" si="10"/>
        <v>0</v>
      </c>
      <c r="P54" s="223">
        <f>P51*$R54%</f>
        <v>-24125000</v>
      </c>
      <c r="Q54" s="222" t="str">
        <f>Q51</f>
        <v>مبلغ</v>
      </c>
      <c r="R54" s="172">
        <v>5</v>
      </c>
      <c r="S54" s="172" t="s">
        <v>390</v>
      </c>
    </row>
  </sheetData>
  <mergeCells count="8">
    <mergeCell ref="Q5:Q7"/>
    <mergeCell ref="D20:D21"/>
    <mergeCell ref="Q21:Q22"/>
    <mergeCell ref="C43:C44"/>
    <mergeCell ref="C49:C50"/>
    <mergeCell ref="C20:C22"/>
    <mergeCell ref="D5:D7"/>
    <mergeCell ref="G5:P5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S54"/>
  <sheetViews>
    <sheetView topLeftCell="A40" workbookViewId="0">
      <selection activeCell="E53" sqref="E53"/>
    </sheetView>
  </sheetViews>
  <sheetFormatPr defaultColWidth="9" defaultRowHeight="23.25"/>
  <cols>
    <col min="1" max="1" width="9" style="171" customWidth="1"/>
    <col min="2" max="2" width="0.75" style="171" customWidth="1"/>
    <col min="3" max="3" width="41" style="171" bestFit="1" customWidth="1"/>
    <col min="4" max="4" width="26.375" style="171" customWidth="1"/>
    <col min="5" max="5" width="28.25" style="171" customWidth="1"/>
    <col min="6" max="6" width="22.125" style="171" customWidth="1"/>
    <col min="7" max="16" width="27" style="171" bestFit="1" customWidth="1"/>
    <col min="17" max="17" width="48.75" style="171" bestFit="1" customWidth="1"/>
    <col min="18" max="18" width="10.125" style="171" customWidth="1"/>
    <col min="19" max="19" width="29.25" style="171" bestFit="1" customWidth="1"/>
    <col min="20" max="16384" width="9" style="171"/>
  </cols>
  <sheetData>
    <row r="3" spans="4:19">
      <c r="Q3" s="74" t="s">
        <v>368</v>
      </c>
    </row>
    <row r="4" spans="4:19" ht="24" thickBot="1"/>
    <row r="5" spans="4:19" ht="24.75" thickTop="1" thickBot="1">
      <c r="D5" s="510" t="s">
        <v>388</v>
      </c>
      <c r="E5" s="185"/>
      <c r="F5" s="186"/>
      <c r="G5" s="417"/>
      <c r="H5" s="517"/>
      <c r="I5" s="517"/>
      <c r="J5" s="517"/>
      <c r="K5" s="517"/>
      <c r="L5" s="517"/>
      <c r="M5" s="517"/>
      <c r="N5" s="517"/>
      <c r="O5" s="517"/>
      <c r="P5" s="415"/>
      <c r="Q5" s="510" t="s">
        <v>288</v>
      </c>
    </row>
    <row r="6" spans="4:19" ht="24.75" thickTop="1" thickBot="1">
      <c r="D6" s="510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510"/>
    </row>
    <row r="7" spans="4:19" ht="24.75" thickTop="1" thickBot="1">
      <c r="D7" s="510"/>
      <c r="E7" s="190" t="s">
        <v>43</v>
      </c>
      <c r="F7" s="190" t="s">
        <v>10</v>
      </c>
      <c r="G7" s="191" t="s">
        <v>286</v>
      </c>
      <c r="H7" s="192" t="s">
        <v>8</v>
      </c>
      <c r="I7" s="192" t="s">
        <v>42</v>
      </c>
      <c r="J7" s="192" t="s">
        <v>6</v>
      </c>
      <c r="K7" s="192" t="s">
        <v>285</v>
      </c>
      <c r="L7" s="192" t="s">
        <v>4</v>
      </c>
      <c r="M7" s="192" t="s">
        <v>307</v>
      </c>
      <c r="N7" s="192" t="s">
        <v>2</v>
      </c>
      <c r="O7" s="192" t="s">
        <v>283</v>
      </c>
      <c r="P7" s="193" t="s">
        <v>282</v>
      </c>
      <c r="Q7" s="510"/>
    </row>
    <row r="8" spans="4:19" ht="24.75" thickTop="1" thickBot="1">
      <c r="D8" s="194">
        <f>P8</f>
        <v>100</v>
      </c>
      <c r="E8" s="194">
        <f t="shared" ref="E8:N8" si="0">F12</f>
        <v>0</v>
      </c>
      <c r="F8" s="194">
        <f t="shared" si="0"/>
        <v>0</v>
      </c>
      <c r="G8" s="194">
        <f t="shared" si="0"/>
        <v>0</v>
      </c>
      <c r="H8" s="194">
        <f t="shared" si="0"/>
        <v>0</v>
      </c>
      <c r="I8" s="194">
        <f t="shared" si="0"/>
        <v>0</v>
      </c>
      <c r="J8" s="194">
        <f t="shared" si="0"/>
        <v>0</v>
      </c>
      <c r="K8" s="194">
        <f t="shared" si="0"/>
        <v>0</v>
      </c>
      <c r="L8" s="194">
        <f t="shared" si="0"/>
        <v>0</v>
      </c>
      <c r="M8" s="194">
        <f t="shared" si="0"/>
        <v>0</v>
      </c>
      <c r="N8" s="194">
        <f t="shared" si="0"/>
        <v>0</v>
      </c>
      <c r="O8" s="194">
        <f>P12</f>
        <v>0</v>
      </c>
      <c r="P8" s="194">
        <f>sheet2!U20</f>
        <v>100</v>
      </c>
      <c r="Q8" s="195" t="s">
        <v>289</v>
      </c>
    </row>
    <row r="9" spans="4:19" ht="24.75" thickTop="1" thickBot="1">
      <c r="D9" s="196">
        <f t="shared" ref="D9:O9" si="1">D10-D8</f>
        <v>-100</v>
      </c>
      <c r="E9" s="196">
        <f t="shared" si="1"/>
        <v>0</v>
      </c>
      <c r="F9" s="196">
        <f t="shared" si="1"/>
        <v>0</v>
      </c>
      <c r="G9" s="196">
        <f t="shared" si="1"/>
        <v>0</v>
      </c>
      <c r="H9" s="196">
        <f t="shared" si="1"/>
        <v>0</v>
      </c>
      <c r="I9" s="196">
        <f t="shared" si="1"/>
        <v>0</v>
      </c>
      <c r="J9" s="196">
        <f t="shared" si="1"/>
        <v>0</v>
      </c>
      <c r="K9" s="196">
        <f t="shared" si="1"/>
        <v>0</v>
      </c>
      <c r="L9" s="196">
        <f t="shared" si="1"/>
        <v>0</v>
      </c>
      <c r="M9" s="196">
        <f t="shared" si="1"/>
        <v>0</v>
      </c>
      <c r="N9" s="196">
        <f t="shared" si="1"/>
        <v>0</v>
      </c>
      <c r="O9" s="196">
        <f t="shared" si="1"/>
        <v>0</v>
      </c>
      <c r="P9" s="196">
        <f>P10-P8</f>
        <v>-100</v>
      </c>
      <c r="Q9" s="195" t="s">
        <v>290</v>
      </c>
    </row>
    <row r="10" spans="4:19" ht="24.75" thickTop="1" thickBot="1">
      <c r="D10" s="197">
        <f t="shared" ref="D10:O10" si="2">D11+D12</f>
        <v>0</v>
      </c>
      <c r="E10" s="197">
        <f t="shared" si="2"/>
        <v>0</v>
      </c>
      <c r="F10" s="197">
        <f t="shared" si="2"/>
        <v>0</v>
      </c>
      <c r="G10" s="197">
        <f t="shared" si="2"/>
        <v>0</v>
      </c>
      <c r="H10" s="197">
        <f t="shared" si="2"/>
        <v>0</v>
      </c>
      <c r="I10" s="197">
        <f t="shared" si="2"/>
        <v>0</v>
      </c>
      <c r="J10" s="197">
        <f t="shared" si="2"/>
        <v>0</v>
      </c>
      <c r="K10" s="197">
        <f t="shared" si="2"/>
        <v>0</v>
      </c>
      <c r="L10" s="197">
        <f t="shared" si="2"/>
        <v>0</v>
      </c>
      <c r="M10" s="197">
        <f t="shared" si="2"/>
        <v>0</v>
      </c>
      <c r="N10" s="197">
        <f t="shared" si="2"/>
        <v>0</v>
      </c>
      <c r="O10" s="197">
        <f t="shared" si="2"/>
        <v>0</v>
      </c>
      <c r="P10" s="197">
        <f>P11+P12</f>
        <v>0</v>
      </c>
      <c r="Q10" s="198" t="s">
        <v>291</v>
      </c>
    </row>
    <row r="11" spans="4:19" ht="24.75" thickTop="1" thickBot="1">
      <c r="D11" s="194">
        <f>'فروش محصول B'!D7</f>
        <v>0</v>
      </c>
      <c r="E11" s="194">
        <f>'فروش محصول B'!E7</f>
        <v>0</v>
      </c>
      <c r="F11" s="194">
        <f>'فروش محصول B'!F7</f>
        <v>0</v>
      </c>
      <c r="G11" s="194">
        <f>'فروش محصول B'!G7</f>
        <v>0</v>
      </c>
      <c r="H11" s="194">
        <f>'فروش محصول B'!H7</f>
        <v>0</v>
      </c>
      <c r="I11" s="194">
        <f>'فروش محصول B'!I7</f>
        <v>0</v>
      </c>
      <c r="J11" s="194">
        <f>'فروش محصول B'!J7</f>
        <v>0</v>
      </c>
      <c r="K11" s="194">
        <f>'فروش محصول B'!K7</f>
        <v>0</v>
      </c>
      <c r="L11" s="194">
        <f>'فروش محصول B'!L7</f>
        <v>0</v>
      </c>
      <c r="M11" s="194">
        <f>'فروش محصول B'!M7</f>
        <v>0</v>
      </c>
      <c r="N11" s="194">
        <f>'فروش محصول B'!N7</f>
        <v>0</v>
      </c>
      <c r="O11" s="194">
        <f>'فروش محصول B'!O7</f>
        <v>0</v>
      </c>
      <c r="P11" s="194">
        <f>'فروش محصول B'!P7</f>
        <v>0</v>
      </c>
      <c r="Q11" s="195" t="s">
        <v>292</v>
      </c>
    </row>
    <row r="12" spans="4:19" ht="24.75" thickTop="1" thickBot="1">
      <c r="D12" s="194">
        <f>E12</f>
        <v>0</v>
      </c>
      <c r="E12" s="194">
        <f t="shared" ref="E12:O12" si="3">E11*$R12%</f>
        <v>0</v>
      </c>
      <c r="F12" s="194">
        <f t="shared" si="3"/>
        <v>0</v>
      </c>
      <c r="G12" s="194">
        <f t="shared" si="3"/>
        <v>0</v>
      </c>
      <c r="H12" s="194">
        <f t="shared" si="3"/>
        <v>0</v>
      </c>
      <c r="I12" s="194">
        <f t="shared" si="3"/>
        <v>0</v>
      </c>
      <c r="J12" s="194">
        <f t="shared" si="3"/>
        <v>0</v>
      </c>
      <c r="K12" s="194">
        <f t="shared" si="3"/>
        <v>0</v>
      </c>
      <c r="L12" s="194">
        <f t="shared" si="3"/>
        <v>0</v>
      </c>
      <c r="M12" s="194">
        <f t="shared" si="3"/>
        <v>0</v>
      </c>
      <c r="N12" s="194">
        <f t="shared" si="3"/>
        <v>0</v>
      </c>
      <c r="O12" s="194">
        <f t="shared" si="3"/>
        <v>0</v>
      </c>
      <c r="P12" s="194">
        <f>P11*$R12%</f>
        <v>0</v>
      </c>
      <c r="Q12" s="195" t="s">
        <v>293</v>
      </c>
      <c r="R12" s="199">
        <v>0</v>
      </c>
      <c r="S12" s="199" t="s">
        <v>389</v>
      </c>
    </row>
    <row r="13" spans="4:19" ht="24" thickTop="1"/>
    <row r="16" spans="4:19">
      <c r="Q16" s="200" t="s">
        <v>294</v>
      </c>
    </row>
    <row r="19" spans="3:17" ht="24" thickBot="1">
      <c r="Q19" s="201" t="s">
        <v>296</v>
      </c>
    </row>
    <row r="20" spans="3:17" ht="24.75" thickTop="1" thickBot="1">
      <c r="C20" s="515" t="s">
        <v>367</v>
      </c>
      <c r="D20" s="510" t="s">
        <v>391</v>
      </c>
      <c r="E20" s="187">
        <v>1</v>
      </c>
      <c r="F20" s="188">
        <v>1</v>
      </c>
      <c r="G20" s="189">
        <v>1</v>
      </c>
      <c r="H20" s="189">
        <v>1</v>
      </c>
      <c r="I20" s="189">
        <v>1</v>
      </c>
      <c r="J20" s="189">
        <v>1</v>
      </c>
      <c r="K20" s="189">
        <v>1</v>
      </c>
      <c r="L20" s="189">
        <v>1</v>
      </c>
      <c r="M20" s="189">
        <v>1</v>
      </c>
      <c r="N20" s="189">
        <v>1</v>
      </c>
      <c r="O20" s="189">
        <v>1</v>
      </c>
      <c r="P20" s="189">
        <v>1</v>
      </c>
      <c r="Q20" s="199" t="s">
        <v>324</v>
      </c>
    </row>
    <row r="21" spans="3:17" ht="24.75" thickTop="1" thickBot="1">
      <c r="C21" s="515"/>
      <c r="D21" s="510"/>
      <c r="E21" s="193" t="s">
        <v>43</v>
      </c>
      <c r="F21" s="193" t="s">
        <v>10</v>
      </c>
      <c r="G21" s="193" t="s">
        <v>286</v>
      </c>
      <c r="H21" s="193" t="s">
        <v>8</v>
      </c>
      <c r="I21" s="193" t="s">
        <v>42</v>
      </c>
      <c r="J21" s="193" t="s">
        <v>6</v>
      </c>
      <c r="K21" s="193" t="s">
        <v>285</v>
      </c>
      <c r="L21" s="193" t="s">
        <v>4</v>
      </c>
      <c r="M21" s="193" t="s">
        <v>307</v>
      </c>
      <c r="N21" s="193" t="s">
        <v>2</v>
      </c>
      <c r="O21" s="193" t="s">
        <v>283</v>
      </c>
      <c r="P21" s="193" t="s">
        <v>282</v>
      </c>
      <c r="Q21" s="511" t="s">
        <v>295</v>
      </c>
    </row>
    <row r="22" spans="3:17" ht="24.75" thickTop="1" thickBot="1">
      <c r="C22" s="516"/>
      <c r="D22" s="199">
        <f>SUM(E22:P22)</f>
        <v>-200000000</v>
      </c>
      <c r="E22" s="202">
        <f t="shared" ref="E22:O22" si="4">E45</f>
        <v>0</v>
      </c>
      <c r="F22" s="202">
        <f t="shared" si="4"/>
        <v>0</v>
      </c>
      <c r="G22" s="202">
        <f t="shared" si="4"/>
        <v>0</v>
      </c>
      <c r="H22" s="202">
        <f t="shared" si="4"/>
        <v>0</v>
      </c>
      <c r="I22" s="202">
        <f t="shared" si="4"/>
        <v>0</v>
      </c>
      <c r="J22" s="202">
        <f t="shared" si="4"/>
        <v>0</v>
      </c>
      <c r="K22" s="202">
        <f t="shared" si="4"/>
        <v>0</v>
      </c>
      <c r="L22" s="202">
        <f t="shared" si="4"/>
        <v>0</v>
      </c>
      <c r="M22" s="202">
        <f t="shared" si="4"/>
        <v>0</v>
      </c>
      <c r="N22" s="202">
        <f t="shared" si="4"/>
        <v>0</v>
      </c>
      <c r="O22" s="202">
        <f t="shared" si="4"/>
        <v>20000000</v>
      </c>
      <c r="P22" s="202">
        <f>P45</f>
        <v>-220000000</v>
      </c>
      <c r="Q22" s="512"/>
    </row>
    <row r="23" spans="3:17" s="206" customFormat="1" ht="24.75" thickTop="1" thickBot="1"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3:17" ht="24.75" thickTop="1" thickBot="1">
      <c r="C24" s="199"/>
      <c r="D24" s="207">
        <f>SUM(E24:P24)</f>
        <v>0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99" t="s">
        <v>308</v>
      </c>
    </row>
    <row r="25" spans="3:17" ht="24.75" thickTop="1" thickBot="1">
      <c r="C25" s="199"/>
      <c r="D25" s="207">
        <f t="shared" ref="D25:D35" si="5">SUM(E25:P25)</f>
        <v>0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199" t="s">
        <v>309</v>
      </c>
    </row>
    <row r="26" spans="3:17" ht="24.75" thickTop="1" thickBot="1">
      <c r="C26" s="199"/>
      <c r="D26" s="207">
        <f t="shared" si="5"/>
        <v>0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199" t="s">
        <v>310</v>
      </c>
    </row>
    <row r="27" spans="3:17" ht="24.75" thickTop="1" thickBot="1">
      <c r="C27" s="199"/>
      <c r="D27" s="207">
        <f t="shared" si="5"/>
        <v>0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199" t="s">
        <v>311</v>
      </c>
    </row>
    <row r="28" spans="3:17" ht="24.75" thickTop="1" thickBot="1">
      <c r="C28" s="199"/>
      <c r="D28" s="207">
        <f t="shared" si="5"/>
        <v>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199" t="s">
        <v>312</v>
      </c>
    </row>
    <row r="29" spans="3:17" ht="24.75" thickTop="1" thickBot="1">
      <c r="C29" s="199"/>
      <c r="D29" s="207">
        <f t="shared" si="5"/>
        <v>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199" t="s">
        <v>313</v>
      </c>
    </row>
    <row r="30" spans="3:17" ht="24.75" thickTop="1" thickBot="1">
      <c r="C30" s="199"/>
      <c r="D30" s="207">
        <f t="shared" si="5"/>
        <v>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199" t="s">
        <v>314</v>
      </c>
    </row>
    <row r="31" spans="3:17" ht="24.75" thickTop="1" thickBot="1">
      <c r="C31" s="199"/>
      <c r="D31" s="207">
        <f t="shared" si="5"/>
        <v>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199" t="s">
        <v>315</v>
      </c>
    </row>
    <row r="32" spans="3:17" ht="24.75" thickTop="1" thickBot="1">
      <c r="C32" s="199"/>
      <c r="D32" s="207">
        <f t="shared" si="5"/>
        <v>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199" t="s">
        <v>316</v>
      </c>
    </row>
    <row r="33" spans="3:17" ht="24.75" thickTop="1" thickBot="1">
      <c r="C33" s="199"/>
      <c r="D33" s="207">
        <f t="shared" si="5"/>
        <v>0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199" t="s">
        <v>317</v>
      </c>
    </row>
    <row r="34" spans="3:17" ht="24.75" thickTop="1" thickBot="1">
      <c r="C34" s="199"/>
      <c r="D34" s="207">
        <f t="shared" si="5"/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199" t="s">
        <v>318</v>
      </c>
    </row>
    <row r="35" spans="3:17" ht="24.75" thickTop="1" thickBot="1">
      <c r="C35" s="199"/>
      <c r="D35" s="207">
        <f t="shared" si="5"/>
        <v>0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199" t="s">
        <v>319</v>
      </c>
    </row>
    <row r="36" spans="3:17" ht="48" thickTop="1" thickBot="1">
      <c r="C36" s="209">
        <f t="shared" ref="C36:O36" si="6">SUM(C24:C35)</f>
        <v>0</v>
      </c>
      <c r="D36" s="209">
        <f t="shared" si="6"/>
        <v>0</v>
      </c>
      <c r="E36" s="209">
        <f t="shared" si="6"/>
        <v>0</v>
      </c>
      <c r="F36" s="209">
        <f t="shared" si="6"/>
        <v>0</v>
      </c>
      <c r="G36" s="209">
        <f t="shared" si="6"/>
        <v>0</v>
      </c>
      <c r="H36" s="209">
        <f t="shared" si="6"/>
        <v>0</v>
      </c>
      <c r="I36" s="209">
        <f t="shared" si="6"/>
        <v>0</v>
      </c>
      <c r="J36" s="209">
        <f t="shared" si="6"/>
        <v>0</v>
      </c>
      <c r="K36" s="209">
        <f t="shared" si="6"/>
        <v>0</v>
      </c>
      <c r="L36" s="209">
        <f t="shared" si="6"/>
        <v>0</v>
      </c>
      <c r="M36" s="209">
        <f t="shared" si="6"/>
        <v>0</v>
      </c>
      <c r="N36" s="209">
        <f t="shared" si="6"/>
        <v>0</v>
      </c>
      <c r="O36" s="209">
        <f t="shared" si="6"/>
        <v>0</v>
      </c>
      <c r="P36" s="209">
        <f>SUM(P24:P35)</f>
        <v>0</v>
      </c>
      <c r="Q36" s="210" t="s">
        <v>297</v>
      </c>
    </row>
    <row r="37" spans="3:17" ht="24" thickTop="1"/>
    <row r="38" spans="3:17" ht="24" thickBot="1">
      <c r="Q38" s="211" t="s">
        <v>298</v>
      </c>
    </row>
    <row r="39" spans="3:17" ht="24.75" thickTop="1" thickBot="1">
      <c r="D39" s="212" t="s">
        <v>12</v>
      </c>
      <c r="E39" s="213" t="s">
        <v>43</v>
      </c>
      <c r="F39" s="214" t="s">
        <v>10</v>
      </c>
      <c r="G39" s="214" t="s">
        <v>286</v>
      </c>
      <c r="H39" s="214" t="s">
        <v>8</v>
      </c>
      <c r="I39" s="214" t="s">
        <v>42</v>
      </c>
      <c r="J39" s="214" t="s">
        <v>6</v>
      </c>
      <c r="K39" s="214" t="s">
        <v>285</v>
      </c>
      <c r="L39" s="214" t="s">
        <v>4</v>
      </c>
      <c r="M39" s="214" t="s">
        <v>307</v>
      </c>
      <c r="N39" s="214" t="s">
        <v>2</v>
      </c>
      <c r="O39" s="214" t="s">
        <v>283</v>
      </c>
      <c r="P39" s="214" t="s">
        <v>282</v>
      </c>
      <c r="Q39" s="199" t="s">
        <v>288</v>
      </c>
    </row>
    <row r="40" spans="3:17" ht="24.75" thickTop="1" thickBot="1">
      <c r="C40" s="226"/>
      <c r="D40" s="225"/>
      <c r="E40" s="215"/>
      <c r="F40" s="215"/>
      <c r="G40" s="216"/>
      <c r="H40" s="168"/>
      <c r="I40" s="168"/>
      <c r="J40" s="168"/>
      <c r="K40" s="168"/>
      <c r="L40" s="168"/>
      <c r="M40" s="168"/>
      <c r="N40" s="168"/>
      <c r="O40" s="168"/>
      <c r="P40" s="168"/>
      <c r="Q40" s="217" t="s">
        <v>299</v>
      </c>
    </row>
    <row r="41" spans="3:17" ht="24.75" thickTop="1" thickBot="1">
      <c r="C41" s="227"/>
      <c r="D41" s="225"/>
      <c r="E41" s="215"/>
      <c r="F41" s="215"/>
      <c r="G41" s="216"/>
      <c r="H41" s="168"/>
      <c r="I41" s="168"/>
      <c r="J41" s="168"/>
      <c r="K41" s="168"/>
      <c r="L41" s="168"/>
      <c r="M41" s="168"/>
      <c r="N41" s="168"/>
      <c r="O41" s="168"/>
      <c r="P41" s="168"/>
      <c r="Q41" s="217" t="s">
        <v>300</v>
      </c>
    </row>
    <row r="42" spans="3:17" ht="24.75" thickTop="1" thickBot="1">
      <c r="C42" s="217" t="s">
        <v>392</v>
      </c>
      <c r="D42" s="215">
        <f>P42</f>
        <v>0</v>
      </c>
      <c r="E42" s="168">
        <f t="shared" ref="E42:N42" si="7">F54</f>
        <v>0</v>
      </c>
      <c r="F42" s="168">
        <f t="shared" si="7"/>
        <v>0</v>
      </c>
      <c r="G42" s="168">
        <f t="shared" si="7"/>
        <v>0</v>
      </c>
      <c r="H42" s="168">
        <f t="shared" si="7"/>
        <v>0</v>
      </c>
      <c r="I42" s="168">
        <f t="shared" si="7"/>
        <v>0</v>
      </c>
      <c r="J42" s="168">
        <f t="shared" si="7"/>
        <v>0</v>
      </c>
      <c r="K42" s="168">
        <f t="shared" si="7"/>
        <v>0</v>
      </c>
      <c r="L42" s="168">
        <f t="shared" si="7"/>
        <v>0</v>
      </c>
      <c r="M42" s="168">
        <f t="shared" si="7"/>
        <v>0</v>
      </c>
      <c r="N42" s="168">
        <f t="shared" si="7"/>
        <v>0</v>
      </c>
      <c r="O42" s="168">
        <f>P54</f>
        <v>-20000000</v>
      </c>
      <c r="P42" s="168">
        <v>0</v>
      </c>
      <c r="Q42" s="217" t="s">
        <v>301</v>
      </c>
    </row>
    <row r="43" spans="3:17" ht="24.75" thickTop="1" thickBot="1">
      <c r="C43" s="513"/>
      <c r="D43" s="190"/>
      <c r="E43" s="199"/>
      <c r="F43" s="199"/>
      <c r="G43" s="184"/>
      <c r="H43" s="172"/>
      <c r="I43" s="172"/>
      <c r="J43" s="172"/>
      <c r="K43" s="172"/>
      <c r="L43" s="172"/>
      <c r="M43" s="172"/>
      <c r="N43" s="172"/>
      <c r="O43" s="172"/>
      <c r="P43" s="172"/>
      <c r="Q43" s="218" t="s">
        <v>302</v>
      </c>
    </row>
    <row r="44" spans="3:17" ht="24.75" thickTop="1" thickBot="1">
      <c r="C44" s="514"/>
      <c r="D44" s="190"/>
      <c r="E44" s="199"/>
      <c r="F44" s="199"/>
      <c r="G44" s="184"/>
      <c r="H44" s="172"/>
      <c r="I44" s="172"/>
      <c r="J44" s="172"/>
      <c r="K44" s="172"/>
      <c r="L44" s="172"/>
      <c r="M44" s="172"/>
      <c r="N44" s="172"/>
      <c r="O44" s="172"/>
      <c r="P44" s="172"/>
      <c r="Q44" s="218" t="str">
        <f>Q41</f>
        <v>قيمت واحد - ريال</v>
      </c>
    </row>
    <row r="45" spans="3:17" ht="24" thickBot="1">
      <c r="C45" s="231" t="s">
        <v>393</v>
      </c>
      <c r="D45" s="219">
        <f t="shared" ref="D45:P45" si="8">D48-D42</f>
        <v>-200000000</v>
      </c>
      <c r="E45" s="219">
        <f t="shared" si="8"/>
        <v>0</v>
      </c>
      <c r="F45" s="219">
        <f t="shared" si="8"/>
        <v>0</v>
      </c>
      <c r="G45" s="219">
        <f t="shared" si="8"/>
        <v>0</v>
      </c>
      <c r="H45" s="219">
        <f t="shared" si="8"/>
        <v>0</v>
      </c>
      <c r="I45" s="219">
        <f t="shared" si="8"/>
        <v>0</v>
      </c>
      <c r="J45" s="219">
        <f t="shared" si="8"/>
        <v>0</v>
      </c>
      <c r="K45" s="219">
        <f t="shared" si="8"/>
        <v>0</v>
      </c>
      <c r="L45" s="219">
        <f t="shared" si="8"/>
        <v>0</v>
      </c>
      <c r="M45" s="219">
        <f t="shared" si="8"/>
        <v>0</v>
      </c>
      <c r="N45" s="219">
        <f t="shared" si="8"/>
        <v>0</v>
      </c>
      <c r="O45" s="219">
        <f t="shared" si="8"/>
        <v>20000000</v>
      </c>
      <c r="P45" s="219">
        <f t="shared" si="8"/>
        <v>-220000000</v>
      </c>
      <c r="Q45" s="218" t="s">
        <v>303</v>
      </c>
    </row>
    <row r="46" spans="3:17" ht="24.75" thickTop="1" thickBot="1">
      <c r="C46" s="228"/>
      <c r="D46" s="232"/>
      <c r="E46" s="233"/>
      <c r="F46" s="233"/>
      <c r="G46" s="234"/>
      <c r="H46" s="235"/>
      <c r="I46" s="235"/>
      <c r="J46" s="235"/>
      <c r="K46" s="235"/>
      <c r="L46" s="235"/>
      <c r="M46" s="235"/>
      <c r="N46" s="235"/>
      <c r="O46" s="235"/>
      <c r="P46" s="235"/>
      <c r="Q46" s="236" t="s">
        <v>304</v>
      </c>
    </row>
    <row r="47" spans="3:17" ht="24.75" thickTop="1" thickBot="1">
      <c r="C47" s="227"/>
      <c r="D47" s="232"/>
      <c r="E47" s="233"/>
      <c r="F47" s="233"/>
      <c r="G47" s="234"/>
      <c r="H47" s="235"/>
      <c r="I47" s="235"/>
      <c r="J47" s="235"/>
      <c r="K47" s="235"/>
      <c r="L47" s="235"/>
      <c r="M47" s="235"/>
      <c r="N47" s="235"/>
      <c r="O47" s="235"/>
      <c r="P47" s="235"/>
      <c r="Q47" s="236" t="str">
        <f>Q41</f>
        <v>قيمت واحد - ريال</v>
      </c>
    </row>
    <row r="48" spans="3:17" ht="24" thickBot="1">
      <c r="C48" s="237" t="s">
        <v>394</v>
      </c>
      <c r="D48" s="235">
        <f t="shared" ref="D48:P48" si="9">D51+D54</f>
        <v>-200000000</v>
      </c>
      <c r="E48" s="235">
        <f t="shared" si="9"/>
        <v>0</v>
      </c>
      <c r="F48" s="235">
        <f t="shared" si="9"/>
        <v>0</v>
      </c>
      <c r="G48" s="235">
        <f t="shared" si="9"/>
        <v>0</v>
      </c>
      <c r="H48" s="235">
        <f t="shared" si="9"/>
        <v>0</v>
      </c>
      <c r="I48" s="235">
        <f t="shared" si="9"/>
        <v>0</v>
      </c>
      <c r="J48" s="235">
        <f t="shared" si="9"/>
        <v>0</v>
      </c>
      <c r="K48" s="235">
        <f t="shared" si="9"/>
        <v>0</v>
      </c>
      <c r="L48" s="235">
        <f t="shared" si="9"/>
        <v>0</v>
      </c>
      <c r="M48" s="235">
        <f t="shared" si="9"/>
        <v>0</v>
      </c>
      <c r="N48" s="235">
        <f t="shared" si="9"/>
        <v>0</v>
      </c>
      <c r="O48" s="235">
        <f t="shared" si="9"/>
        <v>0</v>
      </c>
      <c r="P48" s="235">
        <f t="shared" si="9"/>
        <v>-220000000</v>
      </c>
      <c r="Q48" s="237" t="s">
        <v>15</v>
      </c>
    </row>
    <row r="49" spans="3:19" ht="24.75" thickTop="1" thickBot="1">
      <c r="C49" s="513"/>
      <c r="D49" s="190"/>
      <c r="E49" s="199"/>
      <c r="F49" s="199"/>
      <c r="G49" s="184"/>
      <c r="H49" s="172"/>
      <c r="I49" s="172"/>
      <c r="J49" s="172"/>
      <c r="K49" s="172"/>
      <c r="L49" s="172"/>
      <c r="M49" s="172"/>
      <c r="N49" s="172"/>
      <c r="O49" s="172"/>
      <c r="P49" s="172"/>
      <c r="Q49" s="220" t="s">
        <v>305</v>
      </c>
    </row>
    <row r="50" spans="3:19" ht="24.75" thickTop="1" thickBot="1">
      <c r="C50" s="514"/>
      <c r="D50" s="190"/>
      <c r="E50" s="199"/>
      <c r="F50" s="199"/>
      <c r="G50" s="184"/>
      <c r="H50" s="172"/>
      <c r="I50" s="172"/>
      <c r="J50" s="172"/>
      <c r="K50" s="172"/>
      <c r="L50" s="172"/>
      <c r="M50" s="172"/>
      <c r="N50" s="172"/>
      <c r="O50" s="172"/>
      <c r="P50" s="172"/>
      <c r="Q50" s="220" t="str">
        <f>Q44</f>
        <v>قيمت واحد - ريال</v>
      </c>
    </row>
    <row r="51" spans="3:19" ht="24" thickBot="1">
      <c r="C51" s="220" t="s">
        <v>396</v>
      </c>
      <c r="D51" s="219">
        <f>D9*bom!$M18</f>
        <v>-200000000</v>
      </c>
      <c r="E51" s="219">
        <f>E9*bom!$M18</f>
        <v>0</v>
      </c>
      <c r="F51" s="219">
        <f>F9*bom!$M18</f>
        <v>0</v>
      </c>
      <c r="G51" s="219">
        <f>G9*bom!$M18</f>
        <v>0</v>
      </c>
      <c r="H51" s="219">
        <f>H9*bom!$M18</f>
        <v>0</v>
      </c>
      <c r="I51" s="219">
        <f>I9*bom!$M18</f>
        <v>0</v>
      </c>
      <c r="J51" s="219">
        <f>J9*bom!$M18</f>
        <v>0</v>
      </c>
      <c r="K51" s="219">
        <f>K9*bom!$M18</f>
        <v>0</v>
      </c>
      <c r="L51" s="219">
        <f>L9*bom!$M18</f>
        <v>0</v>
      </c>
      <c r="M51" s="219">
        <f>M9*bom!$M18</f>
        <v>0</v>
      </c>
      <c r="N51" s="219">
        <f>N9*bom!$M18</f>
        <v>0</v>
      </c>
      <c r="O51" s="219">
        <f>O9*bom!$M18</f>
        <v>0</v>
      </c>
      <c r="P51" s="219">
        <f>P9*bom!$M18</f>
        <v>-200000000</v>
      </c>
      <c r="Q51" s="220" t="str">
        <f>Q48</f>
        <v>مبلغ</v>
      </c>
    </row>
    <row r="52" spans="3:19" ht="24.75" thickTop="1" thickBot="1">
      <c r="C52" s="228"/>
      <c r="D52" s="229"/>
      <c r="E52" s="221"/>
      <c r="F52" s="221"/>
      <c r="G52" s="173"/>
      <c r="H52" s="157"/>
      <c r="I52" s="157"/>
      <c r="J52" s="157"/>
      <c r="K52" s="157"/>
      <c r="L52" s="157"/>
      <c r="M52" s="157"/>
      <c r="N52" s="157"/>
      <c r="O52" s="157"/>
      <c r="P52" s="157"/>
      <c r="Q52" s="222" t="s">
        <v>306</v>
      </c>
    </row>
    <row r="53" spans="3:19" ht="24.75" thickTop="1" thickBot="1">
      <c r="C53" s="227"/>
      <c r="D53" s="229"/>
      <c r="E53" s="221"/>
      <c r="F53" s="221"/>
      <c r="G53" s="173"/>
      <c r="H53" s="157"/>
      <c r="I53" s="157"/>
      <c r="J53" s="157"/>
      <c r="K53" s="157"/>
      <c r="L53" s="157"/>
      <c r="M53" s="157"/>
      <c r="N53" s="157"/>
      <c r="O53" s="157"/>
      <c r="P53" s="157"/>
      <c r="Q53" s="222" t="str">
        <f>Q50</f>
        <v>قيمت واحد - ريال</v>
      </c>
    </row>
    <row r="54" spans="3:19" ht="24.75" thickTop="1" thickBot="1">
      <c r="C54" s="230" t="s">
        <v>395</v>
      </c>
      <c r="D54" s="221">
        <f>E54</f>
        <v>0</v>
      </c>
      <c r="E54" s="223">
        <f t="shared" ref="E54:O54" si="10">E51*$R54%</f>
        <v>0</v>
      </c>
      <c r="F54" s="223">
        <f t="shared" si="10"/>
        <v>0</v>
      </c>
      <c r="G54" s="223">
        <f t="shared" si="10"/>
        <v>0</v>
      </c>
      <c r="H54" s="223">
        <f t="shared" si="10"/>
        <v>0</v>
      </c>
      <c r="I54" s="223">
        <f t="shared" si="10"/>
        <v>0</v>
      </c>
      <c r="J54" s="223">
        <f t="shared" si="10"/>
        <v>0</v>
      </c>
      <c r="K54" s="223">
        <f t="shared" si="10"/>
        <v>0</v>
      </c>
      <c r="L54" s="223">
        <f t="shared" si="10"/>
        <v>0</v>
      </c>
      <c r="M54" s="223">
        <f t="shared" si="10"/>
        <v>0</v>
      </c>
      <c r="N54" s="223">
        <f t="shared" si="10"/>
        <v>0</v>
      </c>
      <c r="O54" s="223">
        <f t="shared" si="10"/>
        <v>0</v>
      </c>
      <c r="P54" s="223">
        <f>P51*$R54%</f>
        <v>-20000000</v>
      </c>
      <c r="Q54" s="222" t="str">
        <f>Q51</f>
        <v>مبلغ</v>
      </c>
      <c r="R54" s="172">
        <v>10</v>
      </c>
      <c r="S54" s="172" t="s">
        <v>390</v>
      </c>
    </row>
  </sheetData>
  <mergeCells count="8">
    <mergeCell ref="C43:C44"/>
    <mergeCell ref="C49:C50"/>
    <mergeCell ref="D5:D7"/>
    <mergeCell ref="G5:P5"/>
    <mergeCell ref="Q5:Q7"/>
    <mergeCell ref="C20:C22"/>
    <mergeCell ref="D20:D21"/>
    <mergeCell ref="Q21:Q22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S54"/>
  <sheetViews>
    <sheetView topLeftCell="A22" workbookViewId="0">
      <selection activeCell="A39" sqref="A39"/>
    </sheetView>
  </sheetViews>
  <sheetFormatPr defaultColWidth="9" defaultRowHeight="23.25"/>
  <cols>
    <col min="1" max="1" width="9" style="171" customWidth="1"/>
    <col min="2" max="2" width="0.75" style="171" customWidth="1"/>
    <col min="3" max="3" width="41" style="171" bestFit="1" customWidth="1"/>
    <col min="4" max="4" width="26.375" style="171" customWidth="1"/>
    <col min="5" max="5" width="28.25" style="171" customWidth="1"/>
    <col min="6" max="6" width="22.125" style="171" customWidth="1"/>
    <col min="7" max="16" width="27" style="171" bestFit="1" customWidth="1"/>
    <col min="17" max="17" width="48.75" style="171" bestFit="1" customWidth="1"/>
    <col min="18" max="18" width="10.125" style="171" customWidth="1"/>
    <col min="19" max="19" width="25.875" style="171" bestFit="1" customWidth="1"/>
    <col min="20" max="16384" width="9" style="171"/>
  </cols>
  <sheetData>
    <row r="3" spans="3:19">
      <c r="Q3" s="74" t="s">
        <v>369</v>
      </c>
    </row>
    <row r="4" spans="3:19" ht="24" thickBot="1"/>
    <row r="5" spans="3:19" ht="24.75" thickTop="1" thickBot="1">
      <c r="C5" s="518" t="s">
        <v>288</v>
      </c>
      <c r="D5" s="518" t="s">
        <v>388</v>
      </c>
      <c r="E5" s="185"/>
      <c r="F5" s="186"/>
      <c r="G5" s="417"/>
      <c r="H5" s="517"/>
      <c r="I5" s="517"/>
      <c r="J5" s="517"/>
      <c r="K5" s="517"/>
      <c r="L5" s="517"/>
      <c r="M5" s="517"/>
      <c r="N5" s="517"/>
      <c r="O5" s="517"/>
      <c r="P5" s="415"/>
      <c r="Q5" s="510" t="s">
        <v>288</v>
      </c>
    </row>
    <row r="6" spans="3:19" ht="24.75" thickTop="1" thickBot="1">
      <c r="C6" s="518"/>
      <c r="D6" s="518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510"/>
    </row>
    <row r="7" spans="3:19" ht="24.75" thickTop="1" thickBot="1">
      <c r="C7" s="518"/>
      <c r="D7" s="518"/>
      <c r="E7" s="190" t="s">
        <v>43</v>
      </c>
      <c r="F7" s="190" t="s">
        <v>10</v>
      </c>
      <c r="G7" s="191" t="s">
        <v>286</v>
      </c>
      <c r="H7" s="192" t="s">
        <v>8</v>
      </c>
      <c r="I7" s="192" t="s">
        <v>42</v>
      </c>
      <c r="J7" s="192" t="s">
        <v>6</v>
      </c>
      <c r="K7" s="192" t="s">
        <v>285</v>
      </c>
      <c r="L7" s="192" t="s">
        <v>4</v>
      </c>
      <c r="M7" s="192" t="s">
        <v>307</v>
      </c>
      <c r="N7" s="192" t="s">
        <v>2</v>
      </c>
      <c r="O7" s="192" t="s">
        <v>283</v>
      </c>
      <c r="P7" s="193" t="s">
        <v>282</v>
      </c>
      <c r="Q7" s="510"/>
    </row>
    <row r="8" spans="3:19" ht="24.75" thickTop="1" thickBot="1">
      <c r="C8" s="195" t="s">
        <v>289</v>
      </c>
      <c r="D8" s="194">
        <f>P8</f>
        <v>20</v>
      </c>
      <c r="E8" s="194">
        <f t="shared" ref="E8:N8" si="0">F12</f>
        <v>0</v>
      </c>
      <c r="F8" s="194">
        <f t="shared" si="0"/>
        <v>0</v>
      </c>
      <c r="G8" s="194">
        <f t="shared" si="0"/>
        <v>0</v>
      </c>
      <c r="H8" s="194">
        <f t="shared" si="0"/>
        <v>0</v>
      </c>
      <c r="I8" s="194">
        <f t="shared" si="0"/>
        <v>0</v>
      </c>
      <c r="J8" s="194">
        <f t="shared" si="0"/>
        <v>0</v>
      </c>
      <c r="K8" s="194">
        <f t="shared" si="0"/>
        <v>0</v>
      </c>
      <c r="L8" s="194">
        <f t="shared" si="0"/>
        <v>0</v>
      </c>
      <c r="M8" s="194">
        <f t="shared" si="0"/>
        <v>0</v>
      </c>
      <c r="N8" s="194">
        <f t="shared" si="0"/>
        <v>0</v>
      </c>
      <c r="O8" s="194">
        <f>P12</f>
        <v>0</v>
      </c>
      <c r="P8" s="194">
        <f>sheet2!U21</f>
        <v>20</v>
      </c>
      <c r="Q8" s="195" t="s">
        <v>289</v>
      </c>
    </row>
    <row r="9" spans="3:19" ht="24.75" thickTop="1" thickBot="1">
      <c r="C9" s="195" t="s">
        <v>290</v>
      </c>
      <c r="D9" s="196">
        <f t="shared" ref="D9:O9" si="1">D10-D8</f>
        <v>-20</v>
      </c>
      <c r="E9" s="196">
        <f t="shared" si="1"/>
        <v>0</v>
      </c>
      <c r="F9" s="196">
        <f t="shared" si="1"/>
        <v>0</v>
      </c>
      <c r="G9" s="196">
        <f t="shared" si="1"/>
        <v>0</v>
      </c>
      <c r="H9" s="196">
        <f t="shared" si="1"/>
        <v>0</v>
      </c>
      <c r="I9" s="196">
        <f t="shared" si="1"/>
        <v>0</v>
      </c>
      <c r="J9" s="196">
        <f t="shared" si="1"/>
        <v>0</v>
      </c>
      <c r="K9" s="196">
        <f t="shared" si="1"/>
        <v>0</v>
      </c>
      <c r="L9" s="196">
        <f t="shared" si="1"/>
        <v>0</v>
      </c>
      <c r="M9" s="196">
        <f t="shared" si="1"/>
        <v>0</v>
      </c>
      <c r="N9" s="196">
        <f t="shared" si="1"/>
        <v>0</v>
      </c>
      <c r="O9" s="196">
        <f t="shared" si="1"/>
        <v>0</v>
      </c>
      <c r="P9" s="196">
        <f>P10-P8</f>
        <v>-20</v>
      </c>
      <c r="Q9" s="195" t="s">
        <v>290</v>
      </c>
    </row>
    <row r="10" spans="3:19" ht="24.75" thickTop="1" thickBot="1">
      <c r="C10" s="198" t="s">
        <v>291</v>
      </c>
      <c r="D10" s="197">
        <f t="shared" ref="D10:O10" si="2">D11+D12</f>
        <v>0</v>
      </c>
      <c r="E10" s="197">
        <f t="shared" si="2"/>
        <v>0</v>
      </c>
      <c r="F10" s="197">
        <f t="shared" si="2"/>
        <v>0</v>
      </c>
      <c r="G10" s="197">
        <f t="shared" si="2"/>
        <v>0</v>
      </c>
      <c r="H10" s="197">
        <f t="shared" si="2"/>
        <v>0</v>
      </c>
      <c r="I10" s="197">
        <f t="shared" si="2"/>
        <v>0</v>
      </c>
      <c r="J10" s="197">
        <f t="shared" si="2"/>
        <v>0</v>
      </c>
      <c r="K10" s="197">
        <f t="shared" si="2"/>
        <v>0</v>
      </c>
      <c r="L10" s="197">
        <f t="shared" si="2"/>
        <v>0</v>
      </c>
      <c r="M10" s="197">
        <f t="shared" si="2"/>
        <v>0</v>
      </c>
      <c r="N10" s="197">
        <f t="shared" si="2"/>
        <v>0</v>
      </c>
      <c r="O10" s="197">
        <f t="shared" si="2"/>
        <v>0</v>
      </c>
      <c r="P10" s="197">
        <f>P11+P12</f>
        <v>0</v>
      </c>
      <c r="Q10" s="198" t="s">
        <v>291</v>
      </c>
    </row>
    <row r="11" spans="3:19" ht="24.75" thickTop="1" thickBot="1">
      <c r="C11" s="195" t="s">
        <v>292</v>
      </c>
      <c r="D11" s="194">
        <f>'فروش محصول C'!D7</f>
        <v>0</v>
      </c>
      <c r="E11" s="194">
        <f>'فروش محصول C'!E7</f>
        <v>0</v>
      </c>
      <c r="F11" s="194">
        <f>'فروش محصول C'!F7</f>
        <v>0</v>
      </c>
      <c r="G11" s="194">
        <f>'فروش محصول C'!G7</f>
        <v>0</v>
      </c>
      <c r="H11" s="194">
        <f>'فروش محصول C'!H7</f>
        <v>0</v>
      </c>
      <c r="I11" s="194">
        <f>'فروش محصول C'!I7</f>
        <v>0</v>
      </c>
      <c r="J11" s="194">
        <f>'فروش محصول C'!J7</f>
        <v>0</v>
      </c>
      <c r="K11" s="194">
        <f>'فروش محصول C'!K7</f>
        <v>0</v>
      </c>
      <c r="L11" s="194">
        <f>'فروش محصول C'!L7</f>
        <v>0</v>
      </c>
      <c r="M11" s="194">
        <f>'فروش محصول C'!M7</f>
        <v>0</v>
      </c>
      <c r="N11" s="194">
        <f>'فروش محصول C'!N7</f>
        <v>0</v>
      </c>
      <c r="O11" s="194">
        <f>'فروش محصول C'!O7</f>
        <v>0</v>
      </c>
      <c r="P11" s="194">
        <f>'فروش محصول C'!P7</f>
        <v>0</v>
      </c>
      <c r="Q11" s="195" t="s">
        <v>292</v>
      </c>
    </row>
    <row r="12" spans="3:19" ht="24.75" thickTop="1" thickBot="1">
      <c r="C12" s="195" t="s">
        <v>293</v>
      </c>
      <c r="D12" s="194">
        <f>E12</f>
        <v>0</v>
      </c>
      <c r="E12" s="194">
        <f t="shared" ref="E12:O12" si="3">E11*$R12%</f>
        <v>0</v>
      </c>
      <c r="F12" s="194">
        <f t="shared" si="3"/>
        <v>0</v>
      </c>
      <c r="G12" s="194">
        <f t="shared" si="3"/>
        <v>0</v>
      </c>
      <c r="H12" s="194">
        <f t="shared" si="3"/>
        <v>0</v>
      </c>
      <c r="I12" s="194">
        <f t="shared" si="3"/>
        <v>0</v>
      </c>
      <c r="J12" s="194">
        <f t="shared" si="3"/>
        <v>0</v>
      </c>
      <c r="K12" s="194">
        <f t="shared" si="3"/>
        <v>0</v>
      </c>
      <c r="L12" s="194">
        <f t="shared" si="3"/>
        <v>0</v>
      </c>
      <c r="M12" s="194">
        <f t="shared" si="3"/>
        <v>0</v>
      </c>
      <c r="N12" s="194">
        <f t="shared" si="3"/>
        <v>0</v>
      </c>
      <c r="O12" s="194">
        <f t="shared" si="3"/>
        <v>0</v>
      </c>
      <c r="P12" s="194">
        <f>P11*$R12%</f>
        <v>0</v>
      </c>
      <c r="Q12" s="195" t="s">
        <v>293</v>
      </c>
      <c r="R12" s="199">
        <v>0</v>
      </c>
      <c r="S12" s="199" t="s">
        <v>389</v>
      </c>
    </row>
    <row r="13" spans="3:19" ht="24" thickTop="1"/>
    <row r="16" spans="3:19">
      <c r="Q16" s="200" t="s">
        <v>294</v>
      </c>
    </row>
    <row r="19" spans="3:17" ht="24" thickBot="1">
      <c r="Q19" s="201" t="s">
        <v>296</v>
      </c>
    </row>
    <row r="20" spans="3:17" ht="24.75" thickTop="1" thickBot="1">
      <c r="C20" s="515" t="s">
        <v>367</v>
      </c>
      <c r="D20" s="510" t="s">
        <v>391</v>
      </c>
      <c r="E20" s="187">
        <v>1</v>
      </c>
      <c r="F20" s="188">
        <v>1</v>
      </c>
      <c r="G20" s="189">
        <v>1</v>
      </c>
      <c r="H20" s="189">
        <v>1</v>
      </c>
      <c r="I20" s="189">
        <v>1</v>
      </c>
      <c r="J20" s="189">
        <v>1</v>
      </c>
      <c r="K20" s="189">
        <v>1</v>
      </c>
      <c r="L20" s="189">
        <v>1</v>
      </c>
      <c r="M20" s="189">
        <v>1</v>
      </c>
      <c r="N20" s="189">
        <v>1</v>
      </c>
      <c r="O20" s="189">
        <v>1</v>
      </c>
      <c r="P20" s="189">
        <v>1</v>
      </c>
      <c r="Q20" s="199" t="s">
        <v>324</v>
      </c>
    </row>
    <row r="21" spans="3:17" ht="24.75" thickTop="1" thickBot="1">
      <c r="C21" s="515"/>
      <c r="D21" s="510"/>
      <c r="E21" s="193" t="s">
        <v>43</v>
      </c>
      <c r="F21" s="193" t="s">
        <v>10</v>
      </c>
      <c r="G21" s="193" t="s">
        <v>286</v>
      </c>
      <c r="H21" s="193" t="s">
        <v>8</v>
      </c>
      <c r="I21" s="193" t="s">
        <v>42</v>
      </c>
      <c r="J21" s="193" t="s">
        <v>6</v>
      </c>
      <c r="K21" s="193" t="s">
        <v>285</v>
      </c>
      <c r="L21" s="193" t="s">
        <v>4</v>
      </c>
      <c r="M21" s="193" t="s">
        <v>307</v>
      </c>
      <c r="N21" s="193" t="s">
        <v>2</v>
      </c>
      <c r="O21" s="193" t="s">
        <v>283</v>
      </c>
      <c r="P21" s="193" t="s">
        <v>282</v>
      </c>
      <c r="Q21" s="511" t="s">
        <v>295</v>
      </c>
    </row>
    <row r="22" spans="3:17" ht="24.75" thickTop="1" thickBot="1">
      <c r="C22" s="516"/>
      <c r="D22" s="199">
        <f>SUM(E22:P22)</f>
        <v>-109000000</v>
      </c>
      <c r="E22" s="202">
        <f t="shared" ref="E22:O22" si="4">E45</f>
        <v>0</v>
      </c>
      <c r="F22" s="202">
        <f t="shared" si="4"/>
        <v>0</v>
      </c>
      <c r="G22" s="202">
        <f t="shared" si="4"/>
        <v>0</v>
      </c>
      <c r="H22" s="202">
        <f t="shared" si="4"/>
        <v>0</v>
      </c>
      <c r="I22" s="202">
        <f t="shared" si="4"/>
        <v>0</v>
      </c>
      <c r="J22" s="202">
        <f t="shared" si="4"/>
        <v>0</v>
      </c>
      <c r="K22" s="202">
        <f t="shared" si="4"/>
        <v>0</v>
      </c>
      <c r="L22" s="202">
        <f t="shared" si="4"/>
        <v>0</v>
      </c>
      <c r="M22" s="202">
        <f t="shared" si="4"/>
        <v>0</v>
      </c>
      <c r="N22" s="202">
        <f t="shared" si="4"/>
        <v>0</v>
      </c>
      <c r="O22" s="202">
        <f t="shared" si="4"/>
        <v>2580000</v>
      </c>
      <c r="P22" s="202">
        <f>P45</f>
        <v>-111580000</v>
      </c>
      <c r="Q22" s="512"/>
    </row>
    <row r="23" spans="3:17" s="206" customFormat="1" ht="24.75" thickTop="1" thickBot="1"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3:17" ht="24.75" thickTop="1" thickBot="1">
      <c r="C24" s="199"/>
      <c r="D24" s="207">
        <f>SUM(E24:P24)</f>
        <v>0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99" t="s">
        <v>308</v>
      </c>
    </row>
    <row r="25" spans="3:17" ht="24.75" thickTop="1" thickBot="1">
      <c r="C25" s="199"/>
      <c r="D25" s="207">
        <f t="shared" ref="D25:D35" si="5">SUM(E25:P25)</f>
        <v>0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199" t="s">
        <v>309</v>
      </c>
    </row>
    <row r="26" spans="3:17" ht="24.75" thickTop="1" thickBot="1">
      <c r="C26" s="199"/>
      <c r="D26" s="207">
        <f t="shared" si="5"/>
        <v>0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199" t="s">
        <v>310</v>
      </c>
    </row>
    <row r="27" spans="3:17" ht="24.75" thickTop="1" thickBot="1">
      <c r="C27" s="199"/>
      <c r="D27" s="207">
        <f t="shared" si="5"/>
        <v>0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199" t="s">
        <v>311</v>
      </c>
    </row>
    <row r="28" spans="3:17" ht="24.75" thickTop="1" thickBot="1">
      <c r="C28" s="199"/>
      <c r="D28" s="207">
        <f t="shared" si="5"/>
        <v>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199" t="s">
        <v>312</v>
      </c>
    </row>
    <row r="29" spans="3:17" ht="24.75" thickTop="1" thickBot="1">
      <c r="C29" s="199"/>
      <c r="D29" s="207">
        <f t="shared" si="5"/>
        <v>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199" t="s">
        <v>313</v>
      </c>
    </row>
    <row r="30" spans="3:17" ht="24.75" thickTop="1" thickBot="1">
      <c r="C30" s="199"/>
      <c r="D30" s="207">
        <f t="shared" si="5"/>
        <v>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199" t="s">
        <v>314</v>
      </c>
    </row>
    <row r="31" spans="3:17" ht="24.75" thickTop="1" thickBot="1">
      <c r="C31" s="199"/>
      <c r="D31" s="207">
        <f t="shared" si="5"/>
        <v>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199" t="s">
        <v>315</v>
      </c>
    </row>
    <row r="32" spans="3:17" ht="24.75" thickTop="1" thickBot="1">
      <c r="C32" s="199"/>
      <c r="D32" s="207">
        <f t="shared" si="5"/>
        <v>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199" t="s">
        <v>316</v>
      </c>
    </row>
    <row r="33" spans="3:17" ht="24.75" thickTop="1" thickBot="1">
      <c r="C33" s="199"/>
      <c r="D33" s="207">
        <f t="shared" si="5"/>
        <v>0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199" t="s">
        <v>317</v>
      </c>
    </row>
    <row r="34" spans="3:17" ht="24.75" thickTop="1" thickBot="1">
      <c r="C34" s="199"/>
      <c r="D34" s="207">
        <f t="shared" si="5"/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199" t="s">
        <v>318</v>
      </c>
    </row>
    <row r="35" spans="3:17" ht="24.75" thickTop="1" thickBot="1">
      <c r="C35" s="199"/>
      <c r="D35" s="207">
        <f t="shared" si="5"/>
        <v>0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199" t="s">
        <v>319</v>
      </c>
    </row>
    <row r="36" spans="3:17" ht="48" thickTop="1" thickBot="1">
      <c r="C36" s="209">
        <f t="shared" ref="C36:O36" si="6">SUM(C24:C35)</f>
        <v>0</v>
      </c>
      <c r="D36" s="209">
        <f t="shared" si="6"/>
        <v>0</v>
      </c>
      <c r="E36" s="209">
        <f t="shared" si="6"/>
        <v>0</v>
      </c>
      <c r="F36" s="209">
        <f t="shared" si="6"/>
        <v>0</v>
      </c>
      <c r="G36" s="209">
        <f t="shared" si="6"/>
        <v>0</v>
      </c>
      <c r="H36" s="209">
        <f t="shared" si="6"/>
        <v>0</v>
      </c>
      <c r="I36" s="209">
        <f t="shared" si="6"/>
        <v>0</v>
      </c>
      <c r="J36" s="209">
        <f t="shared" si="6"/>
        <v>0</v>
      </c>
      <c r="K36" s="209">
        <f t="shared" si="6"/>
        <v>0</v>
      </c>
      <c r="L36" s="209">
        <f t="shared" si="6"/>
        <v>0</v>
      </c>
      <c r="M36" s="209">
        <f t="shared" si="6"/>
        <v>0</v>
      </c>
      <c r="N36" s="209">
        <f t="shared" si="6"/>
        <v>0</v>
      </c>
      <c r="O36" s="209">
        <f t="shared" si="6"/>
        <v>0</v>
      </c>
      <c r="P36" s="209">
        <f>SUM(P24:P35)</f>
        <v>0</v>
      </c>
      <c r="Q36" s="210" t="s">
        <v>297</v>
      </c>
    </row>
    <row r="37" spans="3:17" ht="24" thickTop="1"/>
    <row r="38" spans="3:17" ht="24" thickBot="1">
      <c r="Q38" s="211" t="s">
        <v>298</v>
      </c>
    </row>
    <row r="39" spans="3:17" ht="24.75" thickTop="1" thickBot="1">
      <c r="D39" s="212" t="s">
        <v>12</v>
      </c>
      <c r="E39" s="213" t="s">
        <v>43</v>
      </c>
      <c r="F39" s="214" t="s">
        <v>10</v>
      </c>
      <c r="G39" s="214" t="s">
        <v>286</v>
      </c>
      <c r="H39" s="214" t="s">
        <v>8</v>
      </c>
      <c r="I39" s="214" t="s">
        <v>42</v>
      </c>
      <c r="J39" s="214" t="s">
        <v>6</v>
      </c>
      <c r="K39" s="214" t="s">
        <v>285</v>
      </c>
      <c r="L39" s="214" t="s">
        <v>4</v>
      </c>
      <c r="M39" s="214" t="s">
        <v>307</v>
      </c>
      <c r="N39" s="214" t="s">
        <v>2</v>
      </c>
      <c r="O39" s="214" t="s">
        <v>283</v>
      </c>
      <c r="P39" s="214" t="s">
        <v>282</v>
      </c>
      <c r="Q39" s="199" t="s">
        <v>288</v>
      </c>
    </row>
    <row r="40" spans="3:17" ht="24.75" thickTop="1" thickBot="1">
      <c r="C40" s="226"/>
      <c r="D40" s="225"/>
      <c r="E40" s="215"/>
      <c r="F40" s="215"/>
      <c r="G40" s="216"/>
      <c r="H40" s="168"/>
      <c r="I40" s="168"/>
      <c r="J40" s="168"/>
      <c r="K40" s="168"/>
      <c r="L40" s="168"/>
      <c r="M40" s="168"/>
      <c r="N40" s="168"/>
      <c r="O40" s="168"/>
      <c r="P40" s="168">
        <f>sheet2!U31</f>
        <v>25</v>
      </c>
      <c r="Q40" s="217" t="s">
        <v>299</v>
      </c>
    </row>
    <row r="41" spans="3:17" ht="24.75" thickTop="1" thickBot="1">
      <c r="C41" s="227"/>
      <c r="D41" s="225"/>
      <c r="E41" s="215"/>
      <c r="F41" s="215"/>
      <c r="G41" s="216"/>
      <c r="H41" s="168"/>
      <c r="I41" s="168"/>
      <c r="J41" s="168"/>
      <c r="K41" s="168"/>
      <c r="L41" s="168"/>
      <c r="M41" s="168"/>
      <c r="N41" s="168"/>
      <c r="O41" s="168"/>
      <c r="P41" s="168"/>
      <c r="Q41" s="217" t="s">
        <v>300</v>
      </c>
    </row>
    <row r="42" spans="3:17" ht="24.75" thickTop="1" thickBot="1">
      <c r="C42" s="217" t="s">
        <v>392</v>
      </c>
      <c r="D42" s="215">
        <f>P42</f>
        <v>23000000</v>
      </c>
      <c r="E42" s="168">
        <f t="shared" ref="E42:N42" si="7">F54</f>
        <v>0</v>
      </c>
      <c r="F42" s="168">
        <f t="shared" si="7"/>
        <v>0</v>
      </c>
      <c r="G42" s="168">
        <f t="shared" si="7"/>
        <v>0</v>
      </c>
      <c r="H42" s="168">
        <f t="shared" si="7"/>
        <v>0</v>
      </c>
      <c r="I42" s="168">
        <f t="shared" si="7"/>
        <v>0</v>
      </c>
      <c r="J42" s="168">
        <f t="shared" si="7"/>
        <v>0</v>
      </c>
      <c r="K42" s="168">
        <f t="shared" si="7"/>
        <v>0</v>
      </c>
      <c r="L42" s="168">
        <f t="shared" si="7"/>
        <v>0</v>
      </c>
      <c r="M42" s="168">
        <f t="shared" si="7"/>
        <v>0</v>
      </c>
      <c r="N42" s="168">
        <f t="shared" si="7"/>
        <v>0</v>
      </c>
      <c r="O42" s="168">
        <f>P54</f>
        <v>-2580000</v>
      </c>
      <c r="P42" s="168">
        <f>sheet2!S31</f>
        <v>23000000</v>
      </c>
      <c r="Q42" s="217" t="s">
        <v>301</v>
      </c>
    </row>
    <row r="43" spans="3:17" ht="24.75" thickTop="1" thickBot="1">
      <c r="C43" s="513"/>
      <c r="D43" s="190"/>
      <c r="E43" s="199"/>
      <c r="F43" s="199"/>
      <c r="G43" s="184"/>
      <c r="H43" s="172"/>
      <c r="I43" s="172"/>
      <c r="J43" s="172"/>
      <c r="K43" s="172"/>
      <c r="L43" s="172"/>
      <c r="M43" s="172"/>
      <c r="N43" s="172"/>
      <c r="O43" s="172"/>
      <c r="P43" s="172"/>
      <c r="Q43" s="218" t="s">
        <v>302</v>
      </c>
    </row>
    <row r="44" spans="3:17" ht="24.75" thickTop="1" thickBot="1">
      <c r="C44" s="514"/>
      <c r="D44" s="190"/>
      <c r="E44" s="199"/>
      <c r="F44" s="199"/>
      <c r="G44" s="184"/>
      <c r="H44" s="172"/>
      <c r="I44" s="172"/>
      <c r="J44" s="172"/>
      <c r="K44" s="172"/>
      <c r="L44" s="172"/>
      <c r="M44" s="172"/>
      <c r="N44" s="172"/>
      <c r="O44" s="172"/>
      <c r="P44" s="172"/>
      <c r="Q44" s="218" t="str">
        <f>Q41</f>
        <v>قيمت واحد - ريال</v>
      </c>
    </row>
    <row r="45" spans="3:17" ht="24" thickBot="1">
      <c r="C45" s="231" t="s">
        <v>393</v>
      </c>
      <c r="D45" s="219">
        <f t="shared" ref="D45:P45" si="8">D48-D42</f>
        <v>-109000000</v>
      </c>
      <c r="E45" s="219">
        <f t="shared" si="8"/>
        <v>0</v>
      </c>
      <c r="F45" s="219">
        <f t="shared" si="8"/>
        <v>0</v>
      </c>
      <c r="G45" s="219">
        <f t="shared" si="8"/>
        <v>0</v>
      </c>
      <c r="H45" s="219">
        <f t="shared" si="8"/>
        <v>0</v>
      </c>
      <c r="I45" s="219">
        <f t="shared" si="8"/>
        <v>0</v>
      </c>
      <c r="J45" s="219">
        <f t="shared" si="8"/>
        <v>0</v>
      </c>
      <c r="K45" s="219">
        <f t="shared" si="8"/>
        <v>0</v>
      </c>
      <c r="L45" s="219">
        <f t="shared" si="8"/>
        <v>0</v>
      </c>
      <c r="M45" s="219">
        <f t="shared" si="8"/>
        <v>0</v>
      </c>
      <c r="N45" s="219">
        <f t="shared" si="8"/>
        <v>0</v>
      </c>
      <c r="O45" s="219">
        <f t="shared" si="8"/>
        <v>2580000</v>
      </c>
      <c r="P45" s="219">
        <f t="shared" si="8"/>
        <v>-111580000</v>
      </c>
      <c r="Q45" s="218" t="s">
        <v>303</v>
      </c>
    </row>
    <row r="46" spans="3:17" ht="24.75" thickTop="1" thickBot="1">
      <c r="C46" s="228"/>
      <c r="D46" s="232"/>
      <c r="E46" s="233"/>
      <c r="F46" s="233"/>
      <c r="G46" s="234"/>
      <c r="H46" s="235"/>
      <c r="I46" s="235"/>
      <c r="J46" s="235"/>
      <c r="K46" s="235"/>
      <c r="L46" s="235"/>
      <c r="M46" s="235"/>
      <c r="N46" s="235"/>
      <c r="O46" s="235"/>
      <c r="P46" s="235"/>
      <c r="Q46" s="236" t="s">
        <v>304</v>
      </c>
    </row>
    <row r="47" spans="3:17" ht="24.75" thickTop="1" thickBot="1">
      <c r="C47" s="227"/>
      <c r="D47" s="232"/>
      <c r="E47" s="233"/>
      <c r="F47" s="233"/>
      <c r="G47" s="234"/>
      <c r="H47" s="235"/>
      <c r="I47" s="235"/>
      <c r="J47" s="235"/>
      <c r="K47" s="235"/>
      <c r="L47" s="235"/>
      <c r="M47" s="235"/>
      <c r="N47" s="235"/>
      <c r="O47" s="235"/>
      <c r="P47" s="235"/>
      <c r="Q47" s="236" t="str">
        <f>Q41</f>
        <v>قيمت واحد - ريال</v>
      </c>
    </row>
    <row r="48" spans="3:17" ht="24" thickBot="1">
      <c r="C48" s="237" t="s">
        <v>394</v>
      </c>
      <c r="D48" s="235">
        <f t="shared" ref="D48:P48" si="9">D51+D54</f>
        <v>-86000000</v>
      </c>
      <c r="E48" s="235">
        <f t="shared" si="9"/>
        <v>0</v>
      </c>
      <c r="F48" s="235">
        <f t="shared" si="9"/>
        <v>0</v>
      </c>
      <c r="G48" s="235">
        <f t="shared" si="9"/>
        <v>0</v>
      </c>
      <c r="H48" s="235">
        <f t="shared" si="9"/>
        <v>0</v>
      </c>
      <c r="I48" s="235">
        <f t="shared" si="9"/>
        <v>0</v>
      </c>
      <c r="J48" s="235">
        <f t="shared" si="9"/>
        <v>0</v>
      </c>
      <c r="K48" s="235">
        <f t="shared" si="9"/>
        <v>0</v>
      </c>
      <c r="L48" s="235">
        <f t="shared" si="9"/>
        <v>0</v>
      </c>
      <c r="M48" s="235">
        <f t="shared" si="9"/>
        <v>0</v>
      </c>
      <c r="N48" s="235">
        <f t="shared" si="9"/>
        <v>0</v>
      </c>
      <c r="O48" s="235">
        <f t="shared" si="9"/>
        <v>0</v>
      </c>
      <c r="P48" s="235">
        <f t="shared" si="9"/>
        <v>-88580000</v>
      </c>
      <c r="Q48" s="237" t="s">
        <v>15</v>
      </c>
    </row>
    <row r="49" spans="3:19" ht="24.75" thickTop="1" thickBot="1">
      <c r="C49" s="513"/>
      <c r="D49" s="190"/>
      <c r="E49" s="199"/>
      <c r="F49" s="199"/>
      <c r="G49" s="184"/>
      <c r="H49" s="172"/>
      <c r="I49" s="172"/>
      <c r="J49" s="172"/>
      <c r="K49" s="172"/>
      <c r="L49" s="172"/>
      <c r="M49" s="172"/>
      <c r="N49" s="172"/>
      <c r="O49" s="172"/>
      <c r="P49" s="172"/>
      <c r="Q49" s="220" t="s">
        <v>305</v>
      </c>
    </row>
    <row r="50" spans="3:19" ht="24.75" thickTop="1" thickBot="1">
      <c r="C50" s="514"/>
      <c r="D50" s="190"/>
      <c r="E50" s="199"/>
      <c r="F50" s="199"/>
      <c r="G50" s="184"/>
      <c r="H50" s="172"/>
      <c r="I50" s="172"/>
      <c r="J50" s="172"/>
      <c r="K50" s="172"/>
      <c r="L50" s="172"/>
      <c r="M50" s="172"/>
      <c r="N50" s="172"/>
      <c r="O50" s="172"/>
      <c r="P50" s="172"/>
      <c r="Q50" s="220" t="str">
        <f>Q44</f>
        <v>قيمت واحد - ريال</v>
      </c>
    </row>
    <row r="51" spans="3:19" ht="24" thickBot="1">
      <c r="C51" s="220" t="s">
        <v>396</v>
      </c>
      <c r="D51" s="219">
        <f>D9*bom!$N18</f>
        <v>-86000000</v>
      </c>
      <c r="E51" s="219">
        <f>E9*bom!$N18</f>
        <v>0</v>
      </c>
      <c r="F51" s="219">
        <f>F9*bom!$N18</f>
        <v>0</v>
      </c>
      <c r="G51" s="219">
        <f>G9*bom!$N18</f>
        <v>0</v>
      </c>
      <c r="H51" s="219">
        <f>H9*bom!$N18</f>
        <v>0</v>
      </c>
      <c r="I51" s="219">
        <f>I9*bom!$N18</f>
        <v>0</v>
      </c>
      <c r="J51" s="219">
        <f>J9*bom!$N18</f>
        <v>0</v>
      </c>
      <c r="K51" s="219">
        <f>K9*bom!$N18</f>
        <v>0</v>
      </c>
      <c r="L51" s="219">
        <f>L9*bom!$N18</f>
        <v>0</v>
      </c>
      <c r="M51" s="219">
        <f>M9*bom!$N18</f>
        <v>0</v>
      </c>
      <c r="N51" s="219">
        <f>N9*bom!$N18</f>
        <v>0</v>
      </c>
      <c r="O51" s="219">
        <f>O9*bom!$N18</f>
        <v>0</v>
      </c>
      <c r="P51" s="219">
        <f>P9*bom!$N18</f>
        <v>-86000000</v>
      </c>
      <c r="Q51" s="220" t="str">
        <f>Q48</f>
        <v>مبلغ</v>
      </c>
    </row>
    <row r="52" spans="3:19" ht="24.75" thickTop="1" thickBot="1">
      <c r="C52" s="228"/>
      <c r="D52" s="229"/>
      <c r="E52" s="221"/>
      <c r="F52" s="221"/>
      <c r="G52" s="173"/>
      <c r="H52" s="157"/>
      <c r="I52" s="157"/>
      <c r="J52" s="157"/>
      <c r="K52" s="157"/>
      <c r="L52" s="157"/>
      <c r="M52" s="157"/>
      <c r="N52" s="157"/>
      <c r="O52" s="157"/>
      <c r="P52" s="157"/>
      <c r="Q52" s="222" t="s">
        <v>306</v>
      </c>
    </row>
    <row r="53" spans="3:19" ht="24.75" thickTop="1" thickBot="1">
      <c r="C53" s="227"/>
      <c r="D53" s="229"/>
      <c r="E53" s="221"/>
      <c r="F53" s="221"/>
      <c r="G53" s="173"/>
      <c r="H53" s="157"/>
      <c r="I53" s="157"/>
      <c r="J53" s="157"/>
      <c r="K53" s="157"/>
      <c r="L53" s="157"/>
      <c r="M53" s="157"/>
      <c r="N53" s="157"/>
      <c r="O53" s="157"/>
      <c r="P53" s="157"/>
      <c r="Q53" s="222" t="str">
        <f>Q50</f>
        <v>قيمت واحد - ريال</v>
      </c>
    </row>
    <row r="54" spans="3:19" ht="24.75" thickTop="1" thickBot="1">
      <c r="C54" s="230" t="s">
        <v>395</v>
      </c>
      <c r="D54" s="221">
        <f>E54</f>
        <v>0</v>
      </c>
      <c r="E54" s="223">
        <f t="shared" ref="E54:O54" si="10">E51*$R54%</f>
        <v>0</v>
      </c>
      <c r="F54" s="223">
        <f t="shared" si="10"/>
        <v>0</v>
      </c>
      <c r="G54" s="223">
        <f t="shared" si="10"/>
        <v>0</v>
      </c>
      <c r="H54" s="223">
        <f t="shared" si="10"/>
        <v>0</v>
      </c>
      <c r="I54" s="223">
        <f t="shared" si="10"/>
        <v>0</v>
      </c>
      <c r="J54" s="223">
        <f t="shared" si="10"/>
        <v>0</v>
      </c>
      <c r="K54" s="223">
        <f t="shared" si="10"/>
        <v>0</v>
      </c>
      <c r="L54" s="223">
        <f t="shared" si="10"/>
        <v>0</v>
      </c>
      <c r="M54" s="223">
        <f t="shared" si="10"/>
        <v>0</v>
      </c>
      <c r="N54" s="223">
        <f t="shared" si="10"/>
        <v>0</v>
      </c>
      <c r="O54" s="223">
        <f t="shared" si="10"/>
        <v>0</v>
      </c>
      <c r="P54" s="223">
        <f>P51*$R54%</f>
        <v>-2580000</v>
      </c>
      <c r="Q54" s="222" t="str">
        <f>Q51</f>
        <v>مبلغ</v>
      </c>
      <c r="R54" s="172">
        <v>3</v>
      </c>
      <c r="S54" s="172" t="s">
        <v>390</v>
      </c>
    </row>
  </sheetData>
  <mergeCells count="9">
    <mergeCell ref="C43:C44"/>
    <mergeCell ref="C49:C50"/>
    <mergeCell ref="D5:D7"/>
    <mergeCell ref="G5:P5"/>
    <mergeCell ref="Q5:Q7"/>
    <mergeCell ref="C20:C22"/>
    <mergeCell ref="D20:D21"/>
    <mergeCell ref="Q21:Q22"/>
    <mergeCell ref="C5:C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27"/>
  <sheetViews>
    <sheetView topLeftCell="J1" zoomScale="110" zoomScaleNormal="110" workbookViewId="0">
      <selection activeCell="D2" sqref="D2:Q3"/>
    </sheetView>
  </sheetViews>
  <sheetFormatPr defaultColWidth="9.125" defaultRowHeight="23.25"/>
  <cols>
    <col min="1" max="1" width="9.125" style="24"/>
    <col min="2" max="2" width="9.125" style="24" customWidth="1"/>
    <col min="3" max="3" width="34.625" style="24" bestFit="1" customWidth="1"/>
    <col min="4" max="4" width="34.25" style="24" bestFit="1" customWidth="1"/>
    <col min="5" max="10" width="12.875" style="24" bestFit="1" customWidth="1"/>
    <col min="11" max="11" width="13.875" style="24" bestFit="1" customWidth="1"/>
    <col min="12" max="14" width="12.875" style="24" bestFit="1" customWidth="1"/>
    <col min="15" max="15" width="18.625" style="24" bestFit="1" customWidth="1"/>
    <col min="16" max="16" width="15.75" style="24" bestFit="1" customWidth="1"/>
    <col min="17" max="17" width="49.75" style="24" bestFit="1" customWidth="1"/>
    <col min="18" max="18" width="6.75" style="328" customWidth="1"/>
    <col min="19" max="19" width="12.75" style="24" bestFit="1" customWidth="1"/>
    <col min="20" max="20" width="41.875" style="24" bestFit="1" customWidth="1"/>
    <col min="21" max="16384" width="9.125" style="24"/>
  </cols>
  <sheetData>
    <row r="2" spans="3:27">
      <c r="D2" s="418" t="s">
        <v>457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20"/>
      <c r="R2" s="327"/>
    </row>
    <row r="3" spans="3:27">
      <c r="D3" s="421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3"/>
      <c r="R3" s="327"/>
    </row>
    <row r="4" spans="3:27" ht="24" thickBot="1">
      <c r="D4" s="396"/>
      <c r="E4" s="310">
        <f t="shared" ref="E4:N5" si="0">F4</f>
        <v>1</v>
      </c>
      <c r="F4" s="310">
        <f t="shared" si="0"/>
        <v>1</v>
      </c>
      <c r="G4" s="310">
        <f t="shared" si="0"/>
        <v>1</v>
      </c>
      <c r="H4" s="310">
        <f t="shared" si="0"/>
        <v>1</v>
      </c>
      <c r="I4" s="310">
        <f t="shared" si="0"/>
        <v>1</v>
      </c>
      <c r="J4" s="310">
        <f t="shared" si="0"/>
        <v>1</v>
      </c>
      <c r="K4" s="310">
        <f t="shared" si="0"/>
        <v>1</v>
      </c>
      <c r="L4" s="310">
        <f t="shared" si="0"/>
        <v>1</v>
      </c>
      <c r="M4" s="310">
        <f t="shared" si="0"/>
        <v>1</v>
      </c>
      <c r="N4" s="310">
        <f>O4</f>
        <v>1</v>
      </c>
      <c r="O4" s="310">
        <f>P4</f>
        <v>1</v>
      </c>
      <c r="P4" s="397">
        <v>1</v>
      </c>
      <c r="Q4" s="396" t="s">
        <v>456</v>
      </c>
      <c r="R4" s="327"/>
    </row>
    <row r="5" spans="3:27" ht="24.75" thickTop="1" thickBot="1">
      <c r="D5" s="396"/>
      <c r="E5" s="310">
        <f t="shared" si="0"/>
        <v>1</v>
      </c>
      <c r="F5" s="310">
        <f t="shared" si="0"/>
        <v>1</v>
      </c>
      <c r="G5" s="310">
        <f t="shared" si="0"/>
        <v>1</v>
      </c>
      <c r="H5" s="310">
        <f t="shared" si="0"/>
        <v>1</v>
      </c>
      <c r="I5" s="310">
        <f t="shared" si="0"/>
        <v>1</v>
      </c>
      <c r="J5" s="310">
        <f t="shared" si="0"/>
        <v>1</v>
      </c>
      <c r="K5" s="310">
        <f t="shared" si="0"/>
        <v>1</v>
      </c>
      <c r="L5" s="310">
        <f t="shared" si="0"/>
        <v>1</v>
      </c>
      <c r="M5" s="310">
        <f t="shared" si="0"/>
        <v>1</v>
      </c>
      <c r="N5" s="310">
        <f t="shared" si="0"/>
        <v>1</v>
      </c>
      <c r="O5" s="310">
        <v>1</v>
      </c>
      <c r="P5" s="397">
        <v>1</v>
      </c>
      <c r="Q5" s="396" t="s">
        <v>455</v>
      </c>
      <c r="R5" s="327"/>
      <c r="S5" s="180"/>
      <c r="T5" s="180" t="s">
        <v>378</v>
      </c>
    </row>
    <row r="6" spans="3:27" ht="27" customHeight="1" thickTop="1" thickBot="1">
      <c r="C6" s="179"/>
      <c r="D6" s="307" t="s">
        <v>384</v>
      </c>
      <c r="E6" s="307" t="s">
        <v>11</v>
      </c>
      <c r="F6" s="307" t="s">
        <v>10</v>
      </c>
      <c r="G6" s="307" t="s">
        <v>9</v>
      </c>
      <c r="H6" s="307" t="s">
        <v>8</v>
      </c>
      <c r="I6" s="307" t="s">
        <v>7</v>
      </c>
      <c r="J6" s="307" t="s">
        <v>6</v>
      </c>
      <c r="K6" s="307" t="s">
        <v>5</v>
      </c>
      <c r="L6" s="307" t="s">
        <v>4</v>
      </c>
      <c r="M6" s="307" t="s">
        <v>3</v>
      </c>
      <c r="N6" s="307" t="s">
        <v>2</v>
      </c>
      <c r="O6" s="307" t="s">
        <v>1</v>
      </c>
      <c r="P6" s="308" t="s">
        <v>0</v>
      </c>
      <c r="Q6" s="399" t="s">
        <v>436</v>
      </c>
      <c r="R6" s="327"/>
      <c r="S6" s="180"/>
      <c r="T6" s="180" t="s">
        <v>379</v>
      </c>
      <c r="AA6" s="89"/>
    </row>
    <row r="7" spans="3:27" ht="24.75" customHeight="1" thickTop="1" thickBot="1">
      <c r="C7" s="175"/>
      <c r="D7" s="89">
        <f>SUM(E7:Q7)</f>
        <v>0</v>
      </c>
      <c r="E7" s="89">
        <f t="shared" ref="E7:N7" si="1">$S7*E4</f>
        <v>0</v>
      </c>
      <c r="F7" s="89">
        <f t="shared" si="1"/>
        <v>0</v>
      </c>
      <c r="G7" s="89">
        <f t="shared" si="1"/>
        <v>0</v>
      </c>
      <c r="H7" s="89">
        <f t="shared" si="1"/>
        <v>0</v>
      </c>
      <c r="I7" s="89">
        <f t="shared" si="1"/>
        <v>0</v>
      </c>
      <c r="J7" s="89">
        <f t="shared" si="1"/>
        <v>0</v>
      </c>
      <c r="K7" s="89">
        <f t="shared" si="1"/>
        <v>0</v>
      </c>
      <c r="L7" s="89">
        <f t="shared" si="1"/>
        <v>0</v>
      </c>
      <c r="M7" s="89">
        <f t="shared" si="1"/>
        <v>0</v>
      </c>
      <c r="N7" s="89">
        <f t="shared" si="1"/>
        <v>0</v>
      </c>
      <c r="O7" s="89">
        <f>$S7*O4</f>
        <v>0</v>
      </c>
      <c r="P7" s="398">
        <f>$S6*P4</f>
        <v>0</v>
      </c>
      <c r="Q7" s="400" t="s">
        <v>13</v>
      </c>
      <c r="R7" s="327"/>
      <c r="S7" s="180">
        <f>S6</f>
        <v>0</v>
      </c>
      <c r="T7" s="180" t="s">
        <v>434</v>
      </c>
    </row>
    <row r="8" spans="3:27" ht="24.75" customHeight="1" thickBot="1">
      <c r="C8" s="175"/>
      <c r="D8" s="89" t="e">
        <f>D9/D7</f>
        <v>#DIV/0!</v>
      </c>
      <c r="E8" s="89">
        <f t="shared" ref="E8:P8" si="2">$S5*E5</f>
        <v>0</v>
      </c>
      <c r="F8" s="89">
        <f t="shared" si="2"/>
        <v>0</v>
      </c>
      <c r="G8" s="89">
        <f t="shared" si="2"/>
        <v>0</v>
      </c>
      <c r="H8" s="89">
        <f t="shared" si="2"/>
        <v>0</v>
      </c>
      <c r="I8" s="89">
        <f t="shared" si="2"/>
        <v>0</v>
      </c>
      <c r="J8" s="89">
        <f t="shared" si="2"/>
        <v>0</v>
      </c>
      <c r="K8" s="89">
        <f t="shared" si="2"/>
        <v>0</v>
      </c>
      <c r="L8" s="89">
        <f t="shared" si="2"/>
        <v>0</v>
      </c>
      <c r="M8" s="89">
        <f t="shared" si="2"/>
        <v>0</v>
      </c>
      <c r="N8" s="89">
        <f t="shared" si="2"/>
        <v>0</v>
      </c>
      <c r="O8" s="89">
        <f t="shared" si="2"/>
        <v>0</v>
      </c>
      <c r="P8" s="398">
        <f t="shared" si="2"/>
        <v>0</v>
      </c>
      <c r="Q8" s="400" t="s">
        <v>14</v>
      </c>
      <c r="R8" s="327"/>
      <c r="S8" s="330">
        <v>0</v>
      </c>
      <c r="T8" s="331" t="s">
        <v>380</v>
      </c>
    </row>
    <row r="9" spans="3:27" ht="29.25" customHeight="1" thickTop="1" thickBot="1">
      <c r="C9" s="175"/>
      <c r="D9" s="401">
        <f>SUM(E9:Q9)</f>
        <v>0</v>
      </c>
      <c r="E9" s="401">
        <f t="shared" ref="E9:O9" si="3">E7*E8</f>
        <v>0</v>
      </c>
      <c r="F9" s="401">
        <f t="shared" si="3"/>
        <v>0</v>
      </c>
      <c r="G9" s="401">
        <f t="shared" si="3"/>
        <v>0</v>
      </c>
      <c r="H9" s="401">
        <f t="shared" si="3"/>
        <v>0</v>
      </c>
      <c r="I9" s="401">
        <f t="shared" si="3"/>
        <v>0</v>
      </c>
      <c r="J9" s="401">
        <f t="shared" si="3"/>
        <v>0</v>
      </c>
      <c r="K9" s="401">
        <f t="shared" si="3"/>
        <v>0</v>
      </c>
      <c r="L9" s="401">
        <f t="shared" si="3"/>
        <v>0</v>
      </c>
      <c r="M9" s="401">
        <f t="shared" si="3"/>
        <v>0</v>
      </c>
      <c r="N9" s="401">
        <f t="shared" si="3"/>
        <v>0</v>
      </c>
      <c r="O9" s="401">
        <f t="shared" si="3"/>
        <v>0</v>
      </c>
      <c r="P9" s="402">
        <f>P7*P8</f>
        <v>0</v>
      </c>
      <c r="Q9" s="403" t="s">
        <v>506</v>
      </c>
      <c r="R9" s="327"/>
      <c r="S9" s="329">
        <f>D7</f>
        <v>0</v>
      </c>
      <c r="T9" s="180" t="s">
        <v>381</v>
      </c>
    </row>
    <row r="10" spans="3:27" ht="29.25" customHeight="1" thickTop="1" thickBot="1">
      <c r="C10" s="155"/>
      <c r="D10" s="89">
        <f>SUM(E10:P10)</f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77" t="s">
        <v>507</v>
      </c>
      <c r="R10" s="327"/>
      <c r="S10" s="180" t="e">
        <f>(S8-S9)/S8*100</f>
        <v>#DIV/0!</v>
      </c>
      <c r="T10" s="180" t="s">
        <v>382</v>
      </c>
    </row>
    <row r="11" spans="3:27" ht="29.25" customHeight="1" thickBot="1">
      <c r="C11" s="155"/>
      <c r="D11" s="59">
        <f t="shared" ref="D11:O11" si="4">D9-D10</f>
        <v>0</v>
      </c>
      <c r="E11" s="59">
        <f t="shared" si="4"/>
        <v>0</v>
      </c>
      <c r="F11" s="59">
        <f t="shared" si="4"/>
        <v>0</v>
      </c>
      <c r="G11" s="59">
        <f t="shared" si="4"/>
        <v>0</v>
      </c>
      <c r="H11" s="59">
        <f t="shared" si="4"/>
        <v>0</v>
      </c>
      <c r="I11" s="59">
        <f t="shared" si="4"/>
        <v>0</v>
      </c>
      <c r="J11" s="59">
        <f t="shared" si="4"/>
        <v>0</v>
      </c>
      <c r="K11" s="59">
        <f t="shared" si="4"/>
        <v>0</v>
      </c>
      <c r="L11" s="59">
        <f t="shared" si="4"/>
        <v>0</v>
      </c>
      <c r="M11" s="59">
        <f t="shared" si="4"/>
        <v>0</v>
      </c>
      <c r="N11" s="59">
        <f t="shared" si="4"/>
        <v>0</v>
      </c>
      <c r="O11" s="59">
        <f t="shared" si="4"/>
        <v>0</v>
      </c>
      <c r="P11" s="59">
        <f>P9-P10</f>
        <v>0</v>
      </c>
      <c r="Q11" s="60" t="s">
        <v>505</v>
      </c>
      <c r="R11" s="327"/>
      <c r="S11" s="343"/>
      <c r="T11" s="343"/>
    </row>
    <row r="12" spans="3:27" ht="29.25" customHeight="1" thickBo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3:27" ht="29.25" customHeight="1" thickTop="1" thickBot="1">
      <c r="C13" s="156" t="s">
        <v>347</v>
      </c>
      <c r="D13" s="156" t="str">
        <f t="shared" ref="D13:O13" si="5">D6</f>
        <v>جمع فروش سال 93</v>
      </c>
      <c r="E13" s="156" t="str">
        <f t="shared" si="5"/>
        <v xml:space="preserve">اسفند </v>
      </c>
      <c r="F13" s="156" t="str">
        <f t="shared" si="5"/>
        <v>بهمن</v>
      </c>
      <c r="G13" s="156" t="str">
        <f t="shared" si="5"/>
        <v>دی</v>
      </c>
      <c r="H13" s="156" t="str">
        <f t="shared" si="5"/>
        <v>اذر</v>
      </c>
      <c r="I13" s="156" t="str">
        <f t="shared" si="5"/>
        <v>آبان</v>
      </c>
      <c r="J13" s="156" t="str">
        <f t="shared" si="5"/>
        <v>مهر</v>
      </c>
      <c r="K13" s="156" t="str">
        <f t="shared" si="5"/>
        <v>شهریور</v>
      </c>
      <c r="L13" s="156" t="str">
        <f t="shared" si="5"/>
        <v>مرداد</v>
      </c>
      <c r="M13" s="156" t="str">
        <f t="shared" si="5"/>
        <v xml:space="preserve">تیر </v>
      </c>
      <c r="N13" s="156" t="str">
        <f t="shared" si="5"/>
        <v>خرداد</v>
      </c>
      <c r="O13" s="156" t="str">
        <f t="shared" si="5"/>
        <v>اردیبهشت</v>
      </c>
      <c r="P13" s="156" t="str">
        <f>P6</f>
        <v xml:space="preserve">فروردین </v>
      </c>
      <c r="Q13" s="156" t="s">
        <v>346</v>
      </c>
      <c r="R13" s="327"/>
    </row>
    <row r="14" spans="3:27" ht="24.95" customHeight="1" thickTop="1" thickBot="1">
      <c r="C14" s="176"/>
      <c r="D14" s="176">
        <f>SUM(E14:P14)</f>
        <v>0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 t="s">
        <v>17</v>
      </c>
      <c r="R14" s="327"/>
    </row>
    <row r="15" spans="3:27" ht="24.95" customHeight="1" thickBot="1">
      <c r="C15" s="177"/>
      <c r="D15" s="176">
        <f t="shared" ref="D15:D25" si="6">SUM(E15:P15)</f>
        <v>0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6"/>
      <c r="O15" s="177"/>
      <c r="P15" s="177"/>
      <c r="Q15" s="177" t="s">
        <v>18</v>
      </c>
      <c r="R15" s="327"/>
    </row>
    <row r="16" spans="3:27" ht="24.95" customHeight="1" thickBot="1">
      <c r="C16" s="177"/>
      <c r="D16" s="176">
        <f t="shared" si="6"/>
        <v>0</v>
      </c>
      <c r="E16" s="177"/>
      <c r="F16" s="177"/>
      <c r="G16" s="177"/>
      <c r="H16" s="177"/>
      <c r="I16" s="177"/>
      <c r="J16" s="177"/>
      <c r="K16" s="177"/>
      <c r="L16" s="177"/>
      <c r="M16" s="176"/>
      <c r="N16" s="177"/>
      <c r="O16" s="177"/>
      <c r="P16" s="177"/>
      <c r="Q16" s="177" t="s">
        <v>19</v>
      </c>
      <c r="R16" s="327"/>
    </row>
    <row r="17" spans="3:18" ht="24.95" customHeight="1" thickBot="1">
      <c r="C17" s="177"/>
      <c r="D17" s="176">
        <f t="shared" si="6"/>
        <v>0</v>
      </c>
      <c r="E17" s="177"/>
      <c r="F17" s="177"/>
      <c r="G17" s="177"/>
      <c r="H17" s="177"/>
      <c r="I17" s="177"/>
      <c r="J17" s="177"/>
      <c r="K17" s="177"/>
      <c r="L17" s="176"/>
      <c r="M17" s="177"/>
      <c r="N17" s="177"/>
      <c r="O17" s="177"/>
      <c r="P17" s="177"/>
      <c r="Q17" s="177" t="s">
        <v>20</v>
      </c>
      <c r="R17" s="327"/>
    </row>
    <row r="18" spans="3:18" ht="24.95" customHeight="1" thickBot="1">
      <c r="C18" s="177"/>
      <c r="D18" s="176">
        <f t="shared" si="6"/>
        <v>0</v>
      </c>
      <c r="E18" s="177"/>
      <c r="F18" s="177"/>
      <c r="G18" s="177"/>
      <c r="H18" s="177"/>
      <c r="I18" s="177"/>
      <c r="J18" s="177"/>
      <c r="K18" s="176"/>
      <c r="L18" s="177"/>
      <c r="M18" s="178"/>
      <c r="N18" s="178"/>
      <c r="O18" s="178"/>
      <c r="P18" s="178"/>
      <c r="Q18" s="177" t="s">
        <v>21</v>
      </c>
      <c r="R18" s="327"/>
    </row>
    <row r="19" spans="3:18" ht="24.95" customHeight="1" thickBot="1">
      <c r="C19" s="177"/>
      <c r="D19" s="176">
        <f t="shared" si="6"/>
        <v>0</v>
      </c>
      <c r="E19" s="177"/>
      <c r="F19" s="177"/>
      <c r="G19" s="177"/>
      <c r="H19" s="177"/>
      <c r="I19" s="177"/>
      <c r="J19" s="176"/>
      <c r="K19" s="177"/>
      <c r="L19" s="177"/>
      <c r="M19" s="177"/>
      <c r="N19" s="177"/>
      <c r="O19" s="177"/>
      <c r="P19" s="177"/>
      <c r="Q19" s="177" t="s">
        <v>22</v>
      </c>
      <c r="R19" s="327"/>
    </row>
    <row r="20" spans="3:18" ht="24.95" customHeight="1" thickBot="1">
      <c r="C20" s="177"/>
      <c r="D20" s="176">
        <f t="shared" si="6"/>
        <v>0</v>
      </c>
      <c r="E20" s="177"/>
      <c r="F20" s="177"/>
      <c r="G20" s="177"/>
      <c r="H20" s="177"/>
      <c r="I20" s="176"/>
      <c r="J20" s="177"/>
      <c r="K20" s="177"/>
      <c r="L20" s="177"/>
      <c r="M20" s="177"/>
      <c r="N20" s="177"/>
      <c r="O20" s="177"/>
      <c r="P20" s="177"/>
      <c r="Q20" s="177" t="s">
        <v>23</v>
      </c>
      <c r="R20" s="327"/>
    </row>
    <row r="21" spans="3:18" ht="24.95" customHeight="1" thickBot="1">
      <c r="C21" s="177"/>
      <c r="D21" s="176">
        <f t="shared" si="6"/>
        <v>0</v>
      </c>
      <c r="E21" s="177"/>
      <c r="F21" s="177"/>
      <c r="G21" s="177"/>
      <c r="H21" s="176"/>
      <c r="I21" s="177"/>
      <c r="J21" s="177"/>
      <c r="K21" s="177"/>
      <c r="L21" s="177"/>
      <c r="M21" s="177"/>
      <c r="N21" s="177"/>
      <c r="O21" s="177"/>
      <c r="P21" s="177"/>
      <c r="Q21" s="177" t="s">
        <v>24</v>
      </c>
      <c r="R21" s="327"/>
    </row>
    <row r="22" spans="3:18" ht="24.95" customHeight="1" thickBot="1">
      <c r="C22" s="177"/>
      <c r="D22" s="176">
        <f t="shared" si="6"/>
        <v>0</v>
      </c>
      <c r="E22" s="177"/>
      <c r="F22" s="177"/>
      <c r="G22" s="176"/>
      <c r="H22" s="177"/>
      <c r="I22" s="178"/>
      <c r="J22" s="178"/>
      <c r="K22" s="178"/>
      <c r="L22" s="178"/>
      <c r="M22" s="178"/>
      <c r="N22" s="178"/>
      <c r="O22" s="178"/>
      <c r="P22" s="178"/>
      <c r="Q22" s="177" t="s">
        <v>25</v>
      </c>
      <c r="R22" s="327"/>
    </row>
    <row r="23" spans="3:18" ht="24.95" customHeight="1" thickBot="1">
      <c r="C23" s="177"/>
      <c r="D23" s="176">
        <f t="shared" si="6"/>
        <v>0</v>
      </c>
      <c r="E23" s="177"/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 t="s">
        <v>26</v>
      </c>
      <c r="R23" s="327"/>
    </row>
    <row r="24" spans="3:18" ht="24.95" customHeight="1" thickBot="1">
      <c r="C24" s="177"/>
      <c r="D24" s="176">
        <f t="shared" si="6"/>
        <v>0</v>
      </c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 t="s">
        <v>27</v>
      </c>
      <c r="R24" s="327"/>
    </row>
    <row r="25" spans="3:18" ht="24.95" customHeight="1" thickBot="1">
      <c r="C25" s="177"/>
      <c r="D25" s="176">
        <f t="shared" si="6"/>
        <v>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 t="s">
        <v>28</v>
      </c>
      <c r="R25" s="327"/>
    </row>
    <row r="26" spans="3:18" ht="50.25" customHeight="1" thickBot="1">
      <c r="C26" s="181">
        <f t="shared" ref="C26:O26" si="7">SUM(C14:C25)</f>
        <v>0</v>
      </c>
      <c r="D26" s="181">
        <f t="shared" si="7"/>
        <v>0</v>
      </c>
      <c r="E26" s="181">
        <f t="shared" si="7"/>
        <v>0</v>
      </c>
      <c r="F26" s="181">
        <f t="shared" si="7"/>
        <v>0</v>
      </c>
      <c r="G26" s="181">
        <f t="shared" si="7"/>
        <v>0</v>
      </c>
      <c r="H26" s="181">
        <f t="shared" si="7"/>
        <v>0</v>
      </c>
      <c r="I26" s="181">
        <f t="shared" si="7"/>
        <v>0</v>
      </c>
      <c r="J26" s="181">
        <f t="shared" si="7"/>
        <v>0</v>
      </c>
      <c r="K26" s="181">
        <f t="shared" si="7"/>
        <v>0</v>
      </c>
      <c r="L26" s="181">
        <f t="shared" si="7"/>
        <v>0</v>
      </c>
      <c r="M26" s="181">
        <f t="shared" si="7"/>
        <v>0</v>
      </c>
      <c r="N26" s="181">
        <f t="shared" si="7"/>
        <v>0</v>
      </c>
      <c r="O26" s="181">
        <f t="shared" si="7"/>
        <v>0</v>
      </c>
      <c r="P26" s="181">
        <f>SUM(P14:P25)</f>
        <v>0</v>
      </c>
      <c r="Q26" s="182" t="s">
        <v>29</v>
      </c>
      <c r="R26" s="155"/>
    </row>
    <row r="27" spans="3:18" ht="30" customHeight="1" thickBot="1">
      <c r="C27" s="183" t="s">
        <v>348</v>
      </c>
      <c r="D27" s="415" t="s">
        <v>349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7"/>
      <c r="R27" s="155"/>
    </row>
  </sheetData>
  <mergeCells count="2">
    <mergeCell ref="D2:Q3"/>
    <mergeCell ref="D27:Q2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35"/>
  <sheetViews>
    <sheetView topLeftCell="C19" workbookViewId="0">
      <selection activeCell="H45" sqref="H45"/>
    </sheetView>
  </sheetViews>
  <sheetFormatPr defaultColWidth="12.625" defaultRowHeight="14.25"/>
  <cols>
    <col min="1" max="2" width="12.625" style="408"/>
    <col min="3" max="3" width="13.875" style="408" bestFit="1" customWidth="1"/>
    <col min="4" max="4" width="12.75" style="408" bestFit="1" customWidth="1"/>
    <col min="5" max="14" width="12.625" style="408"/>
    <col min="15" max="15" width="14.625" style="408" bestFit="1" customWidth="1"/>
    <col min="16" max="16" width="14.375" style="408" bestFit="1" customWidth="1"/>
    <col min="17" max="17" width="14" style="408" bestFit="1" customWidth="1"/>
    <col min="18" max="16384" width="12.625" style="408"/>
  </cols>
  <sheetData>
    <row r="5" spans="3:17" ht="15">
      <c r="C5" s="409" t="s">
        <v>12</v>
      </c>
      <c r="D5" s="409">
        <v>12</v>
      </c>
      <c r="E5" s="409">
        <v>11</v>
      </c>
      <c r="F5" s="409">
        <v>10</v>
      </c>
      <c r="G5" s="409">
        <v>9</v>
      </c>
      <c r="H5" s="409">
        <v>8</v>
      </c>
      <c r="I5" s="409">
        <v>7</v>
      </c>
      <c r="J5" s="409">
        <v>6</v>
      </c>
      <c r="K5" s="409">
        <v>5</v>
      </c>
      <c r="L5" s="409">
        <v>4</v>
      </c>
      <c r="M5" s="409">
        <v>3</v>
      </c>
      <c r="N5" s="409">
        <v>2</v>
      </c>
      <c r="O5" s="409">
        <v>1</v>
      </c>
      <c r="P5" s="409" t="s">
        <v>518</v>
      </c>
      <c r="Q5" s="519" t="s">
        <v>523</v>
      </c>
    </row>
    <row r="6" spans="3:17">
      <c r="C6" s="408">
        <f>SUM(D6:O6)</f>
        <v>-100</v>
      </c>
      <c r="D6" s="408">
        <f>'گردش توليد و مواد ( A)'!E9</f>
        <v>0</v>
      </c>
      <c r="E6" s="408">
        <f>'گردش توليد و مواد ( A)'!F9</f>
        <v>0</v>
      </c>
      <c r="F6" s="408">
        <f>'گردش توليد و مواد ( A)'!G9</f>
        <v>0</v>
      </c>
      <c r="G6" s="408">
        <f>'گردش توليد و مواد ( A)'!H9</f>
        <v>0</v>
      </c>
      <c r="H6" s="408">
        <f>'گردش توليد و مواد ( A)'!I9</f>
        <v>0</v>
      </c>
      <c r="I6" s="408">
        <f>'گردش توليد و مواد ( A)'!J9</f>
        <v>0</v>
      </c>
      <c r="J6" s="408">
        <f>'گردش توليد و مواد ( A)'!K9</f>
        <v>0</v>
      </c>
      <c r="K6" s="408">
        <f>'گردش توليد و مواد ( A)'!L9</f>
        <v>0</v>
      </c>
      <c r="L6" s="408">
        <f>'گردش توليد و مواد ( A)'!M9</f>
        <v>0</v>
      </c>
      <c r="M6" s="408">
        <f>'گردش توليد و مواد ( A)'!N9</f>
        <v>0</v>
      </c>
      <c r="N6" s="408">
        <f>'گردش توليد و مواد ( A)'!O9</f>
        <v>0</v>
      </c>
      <c r="O6" s="408">
        <f>'گردش توليد و مواد ( A)'!P9</f>
        <v>-100</v>
      </c>
      <c r="P6" s="408" t="s">
        <v>515</v>
      </c>
      <c r="Q6" s="520"/>
    </row>
    <row r="7" spans="3:17">
      <c r="D7" s="408">
        <f t="shared" ref="D7:M7" si="0">E7</f>
        <v>3</v>
      </c>
      <c r="E7" s="408">
        <f t="shared" si="0"/>
        <v>3</v>
      </c>
      <c r="F7" s="408">
        <f t="shared" si="0"/>
        <v>3</v>
      </c>
      <c r="G7" s="408">
        <f t="shared" si="0"/>
        <v>3</v>
      </c>
      <c r="H7" s="408">
        <f t="shared" si="0"/>
        <v>3</v>
      </c>
      <c r="I7" s="408">
        <f t="shared" si="0"/>
        <v>3</v>
      </c>
      <c r="J7" s="408">
        <f t="shared" si="0"/>
        <v>3</v>
      </c>
      <c r="K7" s="408">
        <f t="shared" si="0"/>
        <v>3</v>
      </c>
      <c r="L7" s="408">
        <f t="shared" si="0"/>
        <v>3</v>
      </c>
      <c r="M7" s="408">
        <f t="shared" si="0"/>
        <v>3</v>
      </c>
      <c r="N7" s="408">
        <f>O7</f>
        <v>3</v>
      </c>
      <c r="O7" s="408">
        <f>bom!H6</f>
        <v>3</v>
      </c>
      <c r="P7" s="408" t="s">
        <v>521</v>
      </c>
      <c r="Q7" s="520"/>
    </row>
    <row r="8" spans="3:17">
      <c r="C8" s="408">
        <f>SUM(D8:O8)</f>
        <v>-300</v>
      </c>
      <c r="D8" s="408">
        <f t="shared" ref="D8:N8" si="1">D6*D7</f>
        <v>0</v>
      </c>
      <c r="E8" s="408">
        <f t="shared" si="1"/>
        <v>0</v>
      </c>
      <c r="F8" s="408">
        <f t="shared" si="1"/>
        <v>0</v>
      </c>
      <c r="G8" s="408">
        <f t="shared" si="1"/>
        <v>0</v>
      </c>
      <c r="H8" s="408">
        <f t="shared" si="1"/>
        <v>0</v>
      </c>
      <c r="I8" s="408">
        <f t="shared" si="1"/>
        <v>0</v>
      </c>
      <c r="J8" s="408">
        <f t="shared" si="1"/>
        <v>0</v>
      </c>
      <c r="K8" s="408">
        <f t="shared" si="1"/>
        <v>0</v>
      </c>
      <c r="L8" s="408">
        <f t="shared" si="1"/>
        <v>0</v>
      </c>
      <c r="M8" s="408">
        <f t="shared" si="1"/>
        <v>0</v>
      </c>
      <c r="N8" s="408">
        <f t="shared" si="1"/>
        <v>0</v>
      </c>
      <c r="O8" s="408">
        <f>O6*O7</f>
        <v>-300</v>
      </c>
      <c r="P8" s="408" t="s">
        <v>516</v>
      </c>
      <c r="Q8" s="520"/>
    </row>
    <row r="9" spans="3:17">
      <c r="C9" s="408">
        <f>D9</f>
        <v>0</v>
      </c>
      <c r="D9" s="408">
        <f>D8*'گردش توليد و مواد ( A)'!$R54%</f>
        <v>0</v>
      </c>
      <c r="E9" s="408">
        <f>E8*'گردش توليد و مواد ( A)'!$R54%</f>
        <v>0</v>
      </c>
      <c r="F9" s="408">
        <f>F8*'گردش توليد و مواد ( A)'!$R54%</f>
        <v>0</v>
      </c>
      <c r="G9" s="408">
        <f>G8*'گردش توليد و مواد ( A)'!$R54%</f>
        <v>0</v>
      </c>
      <c r="H9" s="408">
        <f>H8*'گردش توليد و مواد ( A)'!$R54%</f>
        <v>0</v>
      </c>
      <c r="I9" s="408">
        <f>I8*'گردش توليد و مواد ( A)'!$R54%</f>
        <v>0</v>
      </c>
      <c r="J9" s="408">
        <f>J8*'گردش توليد و مواد ( A)'!$R54%</f>
        <v>0</v>
      </c>
      <c r="K9" s="408">
        <f>K8*'گردش توليد و مواد ( A)'!$R54%</f>
        <v>0</v>
      </c>
      <c r="L9" s="408">
        <f>L8*'گردش توليد و مواد ( A)'!$R54%</f>
        <v>0</v>
      </c>
      <c r="M9" s="408">
        <f>M8*'گردش توليد و مواد ( A)'!$R54%</f>
        <v>0</v>
      </c>
      <c r="N9" s="408">
        <f>N8*'گردش توليد و مواد ( A)'!$R54%</f>
        <v>0</v>
      </c>
      <c r="O9" s="408">
        <f>O8*'گردش توليد و مواد ( A)'!$R54%</f>
        <v>-15</v>
      </c>
      <c r="P9" s="408" t="s">
        <v>31</v>
      </c>
      <c r="Q9" s="520"/>
    </row>
    <row r="10" spans="3:17">
      <c r="C10" s="408">
        <f>O10</f>
        <v>200</v>
      </c>
      <c r="D10" s="408">
        <f t="shared" ref="D10:M10" si="2">E9</f>
        <v>0</v>
      </c>
      <c r="E10" s="408">
        <f t="shared" si="2"/>
        <v>0</v>
      </c>
      <c r="F10" s="408">
        <f t="shared" si="2"/>
        <v>0</v>
      </c>
      <c r="G10" s="408">
        <f t="shared" si="2"/>
        <v>0</v>
      </c>
      <c r="H10" s="408">
        <f t="shared" si="2"/>
        <v>0</v>
      </c>
      <c r="I10" s="408">
        <f t="shared" si="2"/>
        <v>0</v>
      </c>
      <c r="J10" s="408">
        <f t="shared" si="2"/>
        <v>0</v>
      </c>
      <c r="K10" s="408">
        <f t="shared" si="2"/>
        <v>0</v>
      </c>
      <c r="L10" s="408">
        <f t="shared" si="2"/>
        <v>0</v>
      </c>
      <c r="M10" s="408">
        <f t="shared" si="2"/>
        <v>0</v>
      </c>
      <c r="N10" s="408">
        <f>O9</f>
        <v>-15</v>
      </c>
      <c r="O10" s="408">
        <f>sheet2!U29</f>
        <v>200</v>
      </c>
      <c r="P10" s="408" t="s">
        <v>517</v>
      </c>
      <c r="Q10" s="520"/>
    </row>
    <row r="11" spans="3:17">
      <c r="C11" s="408">
        <f t="shared" ref="C11:N11" si="3">C8+C9-C10</f>
        <v>-500</v>
      </c>
      <c r="D11" s="408">
        <f t="shared" si="3"/>
        <v>0</v>
      </c>
      <c r="E11" s="408">
        <f t="shared" si="3"/>
        <v>0</v>
      </c>
      <c r="F11" s="408">
        <f t="shared" si="3"/>
        <v>0</v>
      </c>
      <c r="G11" s="408">
        <f t="shared" si="3"/>
        <v>0</v>
      </c>
      <c r="H11" s="408">
        <f t="shared" si="3"/>
        <v>0</v>
      </c>
      <c r="I11" s="408">
        <f t="shared" si="3"/>
        <v>0</v>
      </c>
      <c r="J11" s="408">
        <f t="shared" si="3"/>
        <v>0</v>
      </c>
      <c r="K11" s="408">
        <f t="shared" si="3"/>
        <v>0</v>
      </c>
      <c r="L11" s="408">
        <f t="shared" si="3"/>
        <v>0</v>
      </c>
      <c r="M11" s="408">
        <f t="shared" si="3"/>
        <v>0</v>
      </c>
      <c r="N11" s="408">
        <f t="shared" si="3"/>
        <v>15</v>
      </c>
      <c r="O11" s="408">
        <f>O8+O9-O10</f>
        <v>-515</v>
      </c>
      <c r="P11" s="408" t="s">
        <v>520</v>
      </c>
      <c r="Q11" s="520"/>
    </row>
    <row r="12" spans="3:17">
      <c r="D12" s="408">
        <f t="shared" ref="D12:M12" si="4">E12</f>
        <v>1200000</v>
      </c>
      <c r="E12" s="408">
        <f t="shared" si="4"/>
        <v>1200000</v>
      </c>
      <c r="F12" s="408">
        <f t="shared" si="4"/>
        <v>1200000</v>
      </c>
      <c r="G12" s="408">
        <f t="shared" si="4"/>
        <v>1200000</v>
      </c>
      <c r="H12" s="408">
        <f t="shared" si="4"/>
        <v>1200000</v>
      </c>
      <c r="I12" s="408">
        <f t="shared" si="4"/>
        <v>1200000</v>
      </c>
      <c r="J12" s="408">
        <f t="shared" si="4"/>
        <v>1200000</v>
      </c>
      <c r="K12" s="408">
        <f t="shared" si="4"/>
        <v>1200000</v>
      </c>
      <c r="L12" s="408">
        <f t="shared" si="4"/>
        <v>1200000</v>
      </c>
      <c r="M12" s="408">
        <f t="shared" si="4"/>
        <v>1200000</v>
      </c>
      <c r="N12" s="408">
        <f>O12</f>
        <v>1200000</v>
      </c>
      <c r="O12" s="408">
        <f>bom!K6</f>
        <v>1200000</v>
      </c>
      <c r="P12" s="410" t="s">
        <v>32</v>
      </c>
      <c r="Q12" s="520"/>
    </row>
    <row r="13" spans="3:17">
      <c r="C13" s="413">
        <f>SUM(D13:O13)</f>
        <v>-600000000</v>
      </c>
      <c r="D13" s="411">
        <f t="shared" ref="D13:N13" si="5">D11*D12</f>
        <v>0</v>
      </c>
      <c r="E13" s="411">
        <f t="shared" si="5"/>
        <v>0</v>
      </c>
      <c r="F13" s="411">
        <f t="shared" si="5"/>
        <v>0</v>
      </c>
      <c r="G13" s="411">
        <f t="shared" si="5"/>
        <v>0</v>
      </c>
      <c r="H13" s="411">
        <f t="shared" si="5"/>
        <v>0</v>
      </c>
      <c r="I13" s="411">
        <f t="shared" si="5"/>
        <v>0</v>
      </c>
      <c r="J13" s="411">
        <f t="shared" si="5"/>
        <v>0</v>
      </c>
      <c r="K13" s="411">
        <f t="shared" si="5"/>
        <v>0</v>
      </c>
      <c r="L13" s="411">
        <f t="shared" si="5"/>
        <v>0</v>
      </c>
      <c r="M13" s="411">
        <f t="shared" si="5"/>
        <v>0</v>
      </c>
      <c r="N13" s="411">
        <f t="shared" si="5"/>
        <v>18000000</v>
      </c>
      <c r="O13" s="411">
        <f>O11*O12</f>
        <v>-618000000</v>
      </c>
      <c r="P13" s="411" t="s">
        <v>519</v>
      </c>
      <c r="Q13" s="521"/>
    </row>
    <row r="16" spans="3:17" ht="15">
      <c r="C16" s="409" t="s">
        <v>12</v>
      </c>
      <c r="D16" s="409">
        <v>12</v>
      </c>
      <c r="E16" s="409">
        <v>11</v>
      </c>
      <c r="F16" s="409">
        <v>10</v>
      </c>
      <c r="G16" s="409">
        <v>9</v>
      </c>
      <c r="H16" s="409">
        <v>8</v>
      </c>
      <c r="I16" s="409">
        <v>7</v>
      </c>
      <c r="J16" s="409">
        <v>6</v>
      </c>
      <c r="K16" s="409">
        <v>5</v>
      </c>
      <c r="L16" s="409">
        <v>4</v>
      </c>
      <c r="M16" s="409">
        <v>3</v>
      </c>
      <c r="N16" s="409">
        <v>2</v>
      </c>
      <c r="O16" s="409">
        <v>1</v>
      </c>
      <c r="P16" s="409" t="s">
        <v>518</v>
      </c>
      <c r="Q16" s="519" t="s">
        <v>522</v>
      </c>
    </row>
    <row r="17" spans="3:17">
      <c r="C17" s="408">
        <f>SUM(D17:O17)</f>
        <v>-100</v>
      </c>
      <c r="D17" s="408">
        <f>'گردش توليد و مواد B'!E9</f>
        <v>0</v>
      </c>
      <c r="E17" s="408">
        <f>'گردش توليد و مواد B'!F9</f>
        <v>0</v>
      </c>
      <c r="F17" s="408">
        <f>'گردش توليد و مواد B'!G9</f>
        <v>0</v>
      </c>
      <c r="G17" s="408">
        <f>'گردش توليد و مواد B'!H9</f>
        <v>0</v>
      </c>
      <c r="H17" s="408">
        <f>'گردش توليد و مواد B'!I9</f>
        <v>0</v>
      </c>
      <c r="I17" s="408">
        <f>'گردش توليد و مواد B'!J9</f>
        <v>0</v>
      </c>
      <c r="J17" s="408">
        <f>'گردش توليد و مواد B'!K9</f>
        <v>0</v>
      </c>
      <c r="K17" s="408">
        <f>'گردش توليد و مواد B'!L9</f>
        <v>0</v>
      </c>
      <c r="L17" s="408">
        <f>'گردش توليد و مواد B'!M9</f>
        <v>0</v>
      </c>
      <c r="M17" s="408">
        <f>'گردش توليد و مواد B'!N9</f>
        <v>0</v>
      </c>
      <c r="N17" s="408">
        <f>'گردش توليد و مواد B'!O9</f>
        <v>0</v>
      </c>
      <c r="O17" s="408">
        <f>'گردش توليد و مواد B'!P9</f>
        <v>-100</v>
      </c>
      <c r="P17" s="408" t="s">
        <v>515</v>
      </c>
      <c r="Q17" s="520"/>
    </row>
    <row r="18" spans="3:17">
      <c r="D18" s="412">
        <f t="shared" ref="D18:M18" si="6">E18</f>
        <v>1.2</v>
      </c>
      <c r="E18" s="412">
        <f t="shared" si="6"/>
        <v>1.2</v>
      </c>
      <c r="F18" s="412">
        <f t="shared" si="6"/>
        <v>1.2</v>
      </c>
      <c r="G18" s="412">
        <f t="shared" si="6"/>
        <v>1.2</v>
      </c>
      <c r="H18" s="412">
        <f t="shared" si="6"/>
        <v>1.2</v>
      </c>
      <c r="I18" s="412">
        <f t="shared" si="6"/>
        <v>1.2</v>
      </c>
      <c r="J18" s="412">
        <f t="shared" si="6"/>
        <v>1.2</v>
      </c>
      <c r="K18" s="412">
        <f t="shared" si="6"/>
        <v>1.2</v>
      </c>
      <c r="L18" s="412">
        <f t="shared" si="6"/>
        <v>1.2</v>
      </c>
      <c r="M18" s="412">
        <f t="shared" si="6"/>
        <v>1.2</v>
      </c>
      <c r="N18" s="412">
        <f>O18</f>
        <v>1.2</v>
      </c>
      <c r="O18" s="412">
        <f>bom!I6</f>
        <v>1.2</v>
      </c>
      <c r="P18" s="408" t="s">
        <v>521</v>
      </c>
      <c r="Q18" s="520"/>
    </row>
    <row r="19" spans="3:17">
      <c r="C19" s="408">
        <f>SUM(D19:O19)</f>
        <v>-120</v>
      </c>
      <c r="D19" s="408">
        <f t="shared" ref="D19" si="7">D17*D18</f>
        <v>0</v>
      </c>
      <c r="E19" s="408">
        <f t="shared" ref="E19" si="8">E17*E18</f>
        <v>0</v>
      </c>
      <c r="F19" s="408">
        <f t="shared" ref="F19" si="9">F17*F18</f>
        <v>0</v>
      </c>
      <c r="G19" s="408">
        <f t="shared" ref="G19" si="10">G17*G18</f>
        <v>0</v>
      </c>
      <c r="H19" s="408">
        <f t="shared" ref="H19" si="11">H17*H18</f>
        <v>0</v>
      </c>
      <c r="I19" s="408">
        <f t="shared" ref="I19" si="12">I17*I18</f>
        <v>0</v>
      </c>
      <c r="J19" s="408">
        <f t="shared" ref="J19" si="13">J17*J18</f>
        <v>0</v>
      </c>
      <c r="K19" s="408">
        <f t="shared" ref="K19" si="14">K17*K18</f>
        <v>0</v>
      </c>
      <c r="L19" s="408">
        <f t="shared" ref="L19" si="15">L17*L18</f>
        <v>0</v>
      </c>
      <c r="M19" s="408">
        <f t="shared" ref="M19" si="16">M17*M18</f>
        <v>0</v>
      </c>
      <c r="N19" s="408">
        <f t="shared" ref="N19" si="17">N17*N18</f>
        <v>0</v>
      </c>
      <c r="O19" s="408">
        <f>O17*O18</f>
        <v>-120</v>
      </c>
      <c r="P19" s="408" t="s">
        <v>516</v>
      </c>
      <c r="Q19" s="520"/>
    </row>
    <row r="20" spans="3:17">
      <c r="C20" s="408">
        <f>D20</f>
        <v>0</v>
      </c>
      <c r="D20" s="408">
        <f>D19*'گردش توليد و مواد B'!$R54%</f>
        <v>0</v>
      </c>
      <c r="E20" s="408">
        <f>E19*'گردش توليد و مواد B'!$R54%</f>
        <v>0</v>
      </c>
      <c r="F20" s="408">
        <f>F19*'گردش توليد و مواد B'!$R54%</f>
        <v>0</v>
      </c>
      <c r="G20" s="408">
        <f>G19*'گردش توليد و مواد B'!$R54%</f>
        <v>0</v>
      </c>
      <c r="H20" s="408">
        <f>H19*'گردش توليد و مواد B'!$R54%</f>
        <v>0</v>
      </c>
      <c r="I20" s="408">
        <f>I19*'گردش توليد و مواد B'!$R54%</f>
        <v>0</v>
      </c>
      <c r="J20" s="408">
        <f>J19*'گردش توليد و مواد B'!$R54%</f>
        <v>0</v>
      </c>
      <c r="K20" s="408">
        <f>K19*'گردش توليد و مواد B'!$R54%</f>
        <v>0</v>
      </c>
      <c r="L20" s="408">
        <f>L19*'گردش توليد و مواد B'!$R54%</f>
        <v>0</v>
      </c>
      <c r="M20" s="408">
        <f>M19*'گردش توليد و مواد B'!$R54%</f>
        <v>0</v>
      </c>
      <c r="N20" s="408">
        <f>N19*'گردش توليد و مواد B'!$R54%</f>
        <v>0</v>
      </c>
      <c r="O20" s="408">
        <f>O19*'گردش توليد و مواد B'!$R54%</f>
        <v>-12</v>
      </c>
      <c r="P20" s="408" t="s">
        <v>31</v>
      </c>
      <c r="Q20" s="520"/>
    </row>
    <row r="21" spans="3:17">
      <c r="C21" s="408">
        <f>O21</f>
        <v>0</v>
      </c>
      <c r="D21" s="408">
        <f t="shared" ref="D21:M21" si="18">E20</f>
        <v>0</v>
      </c>
      <c r="E21" s="408">
        <f t="shared" si="18"/>
        <v>0</v>
      </c>
      <c r="F21" s="408">
        <f t="shared" si="18"/>
        <v>0</v>
      </c>
      <c r="G21" s="408">
        <f t="shared" si="18"/>
        <v>0</v>
      </c>
      <c r="H21" s="408">
        <f t="shared" si="18"/>
        <v>0</v>
      </c>
      <c r="I21" s="408">
        <f t="shared" si="18"/>
        <v>0</v>
      </c>
      <c r="J21" s="408">
        <f t="shared" si="18"/>
        <v>0</v>
      </c>
      <c r="K21" s="408">
        <f t="shared" si="18"/>
        <v>0</v>
      </c>
      <c r="L21" s="408">
        <f t="shared" si="18"/>
        <v>0</v>
      </c>
      <c r="M21" s="408">
        <f t="shared" si="18"/>
        <v>0</v>
      </c>
      <c r="N21" s="408">
        <f>O20</f>
        <v>-12</v>
      </c>
      <c r="O21" s="408">
        <v>0</v>
      </c>
      <c r="P21" s="408" t="s">
        <v>517</v>
      </c>
      <c r="Q21" s="520"/>
    </row>
    <row r="22" spans="3:17">
      <c r="C22" s="408">
        <f t="shared" ref="C22" si="19">C19+C20-C21</f>
        <v>-120</v>
      </c>
      <c r="D22" s="408">
        <f t="shared" ref="D22" si="20">D19+D20-D21</f>
        <v>0</v>
      </c>
      <c r="E22" s="408">
        <f t="shared" ref="E22" si="21">E19+E20-E21</f>
        <v>0</v>
      </c>
      <c r="F22" s="408">
        <f t="shared" ref="F22" si="22">F19+F20-F21</f>
        <v>0</v>
      </c>
      <c r="G22" s="408">
        <f t="shared" ref="G22" si="23">G19+G20-G21</f>
        <v>0</v>
      </c>
      <c r="H22" s="408">
        <f t="shared" ref="H22" si="24">H19+H20-H21</f>
        <v>0</v>
      </c>
      <c r="I22" s="408">
        <f t="shared" ref="I22" si="25">I19+I20-I21</f>
        <v>0</v>
      </c>
      <c r="J22" s="408">
        <f t="shared" ref="J22" si="26">J19+J20-J21</f>
        <v>0</v>
      </c>
      <c r="K22" s="408">
        <f t="shared" ref="K22" si="27">K19+K20-K21</f>
        <v>0</v>
      </c>
      <c r="L22" s="408">
        <f t="shared" ref="L22" si="28">L19+L20-L21</f>
        <v>0</v>
      </c>
      <c r="M22" s="408">
        <f t="shared" ref="M22" si="29">M19+M20-M21</f>
        <v>0</v>
      </c>
      <c r="N22" s="408">
        <f t="shared" ref="N22" si="30">N19+N20-N21</f>
        <v>12</v>
      </c>
      <c r="O22" s="408">
        <f>O19+O20-O21</f>
        <v>-132</v>
      </c>
      <c r="P22" s="408" t="s">
        <v>520</v>
      </c>
      <c r="Q22" s="520"/>
    </row>
    <row r="23" spans="3:17">
      <c r="D23" s="408">
        <f t="shared" ref="D23:M23" si="31">E23</f>
        <v>1200000</v>
      </c>
      <c r="E23" s="408">
        <f t="shared" si="31"/>
        <v>1200000</v>
      </c>
      <c r="F23" s="408">
        <f t="shared" si="31"/>
        <v>1200000</v>
      </c>
      <c r="G23" s="408">
        <f t="shared" si="31"/>
        <v>1200000</v>
      </c>
      <c r="H23" s="408">
        <f t="shared" si="31"/>
        <v>1200000</v>
      </c>
      <c r="I23" s="408">
        <f t="shared" si="31"/>
        <v>1200000</v>
      </c>
      <c r="J23" s="408">
        <f t="shared" si="31"/>
        <v>1200000</v>
      </c>
      <c r="K23" s="408">
        <f t="shared" si="31"/>
        <v>1200000</v>
      </c>
      <c r="L23" s="408">
        <f t="shared" si="31"/>
        <v>1200000</v>
      </c>
      <c r="M23" s="408">
        <f t="shared" si="31"/>
        <v>1200000</v>
      </c>
      <c r="N23" s="408">
        <f>O23</f>
        <v>1200000</v>
      </c>
      <c r="O23" s="408">
        <f>bom!K6</f>
        <v>1200000</v>
      </c>
      <c r="P23" s="410" t="s">
        <v>32</v>
      </c>
      <c r="Q23" s="520"/>
    </row>
    <row r="24" spans="3:17">
      <c r="C24" s="413">
        <f>SUM(D24:O24)</f>
        <v>-144000000</v>
      </c>
      <c r="D24" s="411">
        <f t="shared" ref="D24:N24" si="32">D22*D23</f>
        <v>0</v>
      </c>
      <c r="E24" s="411">
        <f t="shared" si="32"/>
        <v>0</v>
      </c>
      <c r="F24" s="411">
        <f t="shared" si="32"/>
        <v>0</v>
      </c>
      <c r="G24" s="411">
        <f t="shared" si="32"/>
        <v>0</v>
      </c>
      <c r="H24" s="411">
        <f t="shared" si="32"/>
        <v>0</v>
      </c>
      <c r="I24" s="411">
        <f t="shared" si="32"/>
        <v>0</v>
      </c>
      <c r="J24" s="411">
        <f t="shared" si="32"/>
        <v>0</v>
      </c>
      <c r="K24" s="411">
        <f t="shared" si="32"/>
        <v>0</v>
      </c>
      <c r="L24" s="411">
        <f t="shared" si="32"/>
        <v>0</v>
      </c>
      <c r="M24" s="411">
        <f t="shared" si="32"/>
        <v>0</v>
      </c>
      <c r="N24" s="411">
        <f t="shared" si="32"/>
        <v>14400000</v>
      </c>
      <c r="O24" s="411">
        <f>O22*O23</f>
        <v>-158400000</v>
      </c>
      <c r="P24" s="411" t="s">
        <v>519</v>
      </c>
      <c r="Q24" s="521"/>
    </row>
    <row r="27" spans="3:17" ht="15">
      <c r="C27" s="409" t="s">
        <v>12</v>
      </c>
      <c r="D27" s="409">
        <v>12</v>
      </c>
      <c r="E27" s="409">
        <v>11</v>
      </c>
      <c r="F27" s="409">
        <v>10</v>
      </c>
      <c r="G27" s="409">
        <v>9</v>
      </c>
      <c r="H27" s="409">
        <v>8</v>
      </c>
      <c r="I27" s="409">
        <v>7</v>
      </c>
      <c r="J27" s="409">
        <v>6</v>
      </c>
      <c r="K27" s="409">
        <v>5</v>
      </c>
      <c r="L27" s="409">
        <v>4</v>
      </c>
      <c r="M27" s="409">
        <v>3</v>
      </c>
      <c r="N27" s="409">
        <v>2</v>
      </c>
      <c r="O27" s="409">
        <v>1</v>
      </c>
      <c r="P27" s="409" t="s">
        <v>518</v>
      </c>
      <c r="Q27" s="519" t="s">
        <v>503</v>
      </c>
    </row>
    <row r="28" spans="3:17">
      <c r="C28" s="408">
        <f>SUM(D28:O28)</f>
        <v>-20</v>
      </c>
      <c r="D28" s="408">
        <f>'گردش توليد و مواد C'!E9</f>
        <v>0</v>
      </c>
      <c r="E28" s="408">
        <f>'گردش توليد و مواد C'!F9</f>
        <v>0</v>
      </c>
      <c r="F28" s="408">
        <f>'گردش توليد و مواد C'!G9</f>
        <v>0</v>
      </c>
      <c r="G28" s="408">
        <f>'گردش توليد و مواد C'!H9</f>
        <v>0</v>
      </c>
      <c r="H28" s="408">
        <f>'گردش توليد و مواد C'!I9</f>
        <v>0</v>
      </c>
      <c r="I28" s="408">
        <f>'گردش توليد و مواد C'!J9</f>
        <v>0</v>
      </c>
      <c r="J28" s="408">
        <f>'گردش توليد و مواد C'!K9</f>
        <v>0</v>
      </c>
      <c r="K28" s="408">
        <f>'گردش توليد و مواد C'!L9</f>
        <v>0</v>
      </c>
      <c r="L28" s="408">
        <f>'گردش توليد و مواد C'!M9</f>
        <v>0</v>
      </c>
      <c r="M28" s="408">
        <f>'گردش توليد و مواد C'!N9</f>
        <v>0</v>
      </c>
      <c r="N28" s="408">
        <f>'گردش توليد و مواد C'!O9</f>
        <v>0</v>
      </c>
      <c r="O28" s="408">
        <f>'گردش توليد و مواد C'!P9</f>
        <v>-20</v>
      </c>
      <c r="P28" s="408" t="s">
        <v>515</v>
      </c>
      <c r="Q28" s="520"/>
    </row>
    <row r="29" spans="3:17">
      <c r="D29" s="412">
        <f t="shared" ref="D29:M29" si="33">E29</f>
        <v>2.2000000000000002</v>
      </c>
      <c r="E29" s="412">
        <f t="shared" si="33"/>
        <v>2.2000000000000002</v>
      </c>
      <c r="F29" s="412">
        <f t="shared" si="33"/>
        <v>2.2000000000000002</v>
      </c>
      <c r="G29" s="412">
        <f t="shared" si="33"/>
        <v>2.2000000000000002</v>
      </c>
      <c r="H29" s="412">
        <f t="shared" si="33"/>
        <v>2.2000000000000002</v>
      </c>
      <c r="I29" s="412">
        <f t="shared" si="33"/>
        <v>2.2000000000000002</v>
      </c>
      <c r="J29" s="412">
        <f t="shared" si="33"/>
        <v>2.2000000000000002</v>
      </c>
      <c r="K29" s="412">
        <f t="shared" si="33"/>
        <v>2.2000000000000002</v>
      </c>
      <c r="L29" s="412">
        <f t="shared" si="33"/>
        <v>2.2000000000000002</v>
      </c>
      <c r="M29" s="412">
        <f t="shared" si="33"/>
        <v>2.2000000000000002</v>
      </c>
      <c r="N29" s="412">
        <f>O29</f>
        <v>2.2000000000000002</v>
      </c>
      <c r="O29" s="412">
        <f>bom!J11</f>
        <v>2.2000000000000002</v>
      </c>
      <c r="P29" s="408" t="s">
        <v>521</v>
      </c>
      <c r="Q29" s="520"/>
    </row>
    <row r="30" spans="3:17">
      <c r="C30" s="408">
        <f>SUM(D30:O30)</f>
        <v>-44</v>
      </c>
      <c r="D30" s="408">
        <f t="shared" ref="D30" si="34">D28*D29</f>
        <v>0</v>
      </c>
      <c r="E30" s="408">
        <f t="shared" ref="E30" si="35">E28*E29</f>
        <v>0</v>
      </c>
      <c r="F30" s="408">
        <f t="shared" ref="F30" si="36">F28*F29</f>
        <v>0</v>
      </c>
      <c r="G30" s="408">
        <f t="shared" ref="G30" si="37">G28*G29</f>
        <v>0</v>
      </c>
      <c r="H30" s="408">
        <f t="shared" ref="H30" si="38">H28*H29</f>
        <v>0</v>
      </c>
      <c r="I30" s="408">
        <f t="shared" ref="I30" si="39">I28*I29</f>
        <v>0</v>
      </c>
      <c r="J30" s="408">
        <f t="shared" ref="J30" si="40">J28*J29</f>
        <v>0</v>
      </c>
      <c r="K30" s="408">
        <f t="shared" ref="K30" si="41">K28*K29</f>
        <v>0</v>
      </c>
      <c r="L30" s="408">
        <f t="shared" ref="L30" si="42">L28*L29</f>
        <v>0</v>
      </c>
      <c r="M30" s="408">
        <f t="shared" ref="M30" si="43">M28*M29</f>
        <v>0</v>
      </c>
      <c r="N30" s="408">
        <f t="shared" ref="N30" si="44">N28*N29</f>
        <v>0</v>
      </c>
      <c r="O30" s="408">
        <f>O28*O29</f>
        <v>-44</v>
      </c>
      <c r="P30" s="408" t="s">
        <v>516</v>
      </c>
      <c r="Q30" s="520"/>
    </row>
    <row r="31" spans="3:17">
      <c r="C31" s="408">
        <f>D31</f>
        <v>0</v>
      </c>
      <c r="D31" s="408">
        <f>D30*'گردش توليد و مواد C'!$R54%</f>
        <v>0</v>
      </c>
      <c r="E31" s="408">
        <f>E30*'گردش توليد و مواد C'!$R54%</f>
        <v>0</v>
      </c>
      <c r="F31" s="408">
        <f>F30*'گردش توليد و مواد C'!$R54%</f>
        <v>0</v>
      </c>
      <c r="G31" s="408">
        <f>G30*'گردش توليد و مواد C'!$R54%</f>
        <v>0</v>
      </c>
      <c r="H31" s="408">
        <f>H30*'گردش توليد و مواد C'!$R54%</f>
        <v>0</v>
      </c>
      <c r="I31" s="408">
        <f>I30*'گردش توليد و مواد C'!$R54%</f>
        <v>0</v>
      </c>
      <c r="J31" s="408">
        <f>J30*'گردش توليد و مواد C'!$R54%</f>
        <v>0</v>
      </c>
      <c r="K31" s="408">
        <f>K30*'گردش توليد و مواد C'!$R54%</f>
        <v>0</v>
      </c>
      <c r="L31" s="408">
        <f>L30*'گردش توليد و مواد C'!$R54%</f>
        <v>0</v>
      </c>
      <c r="M31" s="408">
        <f>M30*'گردش توليد و مواد C'!$R54%</f>
        <v>0</v>
      </c>
      <c r="N31" s="408">
        <f>N30*'گردش توليد و مواد C'!$R54%</f>
        <v>0</v>
      </c>
      <c r="O31" s="408">
        <f>O30*'گردش توليد و مواد C'!$R54%</f>
        <v>-1.3199999999999998</v>
      </c>
      <c r="P31" s="408" t="s">
        <v>31</v>
      </c>
      <c r="Q31" s="520"/>
    </row>
    <row r="32" spans="3:17">
      <c r="C32" s="408">
        <f>O32</f>
        <v>25</v>
      </c>
      <c r="D32" s="408">
        <f t="shared" ref="D32:M32" si="45">E31</f>
        <v>0</v>
      </c>
      <c r="E32" s="408">
        <f t="shared" si="45"/>
        <v>0</v>
      </c>
      <c r="F32" s="408">
        <f t="shared" si="45"/>
        <v>0</v>
      </c>
      <c r="G32" s="408">
        <f t="shared" si="45"/>
        <v>0</v>
      </c>
      <c r="H32" s="408">
        <f t="shared" si="45"/>
        <v>0</v>
      </c>
      <c r="I32" s="408">
        <f t="shared" si="45"/>
        <v>0</v>
      </c>
      <c r="J32" s="408">
        <f t="shared" si="45"/>
        <v>0</v>
      </c>
      <c r="K32" s="408">
        <f t="shared" si="45"/>
        <v>0</v>
      </c>
      <c r="L32" s="408">
        <f t="shared" si="45"/>
        <v>0</v>
      </c>
      <c r="M32" s="408">
        <f t="shared" si="45"/>
        <v>0</v>
      </c>
      <c r="N32" s="408">
        <f>O31</f>
        <v>-1.3199999999999998</v>
      </c>
      <c r="O32" s="408">
        <f>sheet2!U31</f>
        <v>25</v>
      </c>
      <c r="P32" s="408" t="s">
        <v>517</v>
      </c>
      <c r="Q32" s="520"/>
    </row>
    <row r="33" spans="3:17">
      <c r="C33" s="408">
        <f t="shared" ref="C33" si="46">C30+C31-C32</f>
        <v>-69</v>
      </c>
      <c r="D33" s="408">
        <f t="shared" ref="D33" si="47">D30+D31-D32</f>
        <v>0</v>
      </c>
      <c r="E33" s="408">
        <f t="shared" ref="E33" si="48">E30+E31-E32</f>
        <v>0</v>
      </c>
      <c r="F33" s="408">
        <f t="shared" ref="F33" si="49">F30+F31-F32</f>
        <v>0</v>
      </c>
      <c r="G33" s="408">
        <f t="shared" ref="G33" si="50">G30+G31-G32</f>
        <v>0</v>
      </c>
      <c r="H33" s="408">
        <f t="shared" ref="H33" si="51">H30+H31-H32</f>
        <v>0</v>
      </c>
      <c r="I33" s="408">
        <f t="shared" ref="I33" si="52">I30+I31-I32</f>
        <v>0</v>
      </c>
      <c r="J33" s="408">
        <f t="shared" ref="J33" si="53">J30+J31-J32</f>
        <v>0</v>
      </c>
      <c r="K33" s="408">
        <f t="shared" ref="K33" si="54">K30+K31-K32</f>
        <v>0</v>
      </c>
      <c r="L33" s="408">
        <f t="shared" ref="L33" si="55">L30+L31-L32</f>
        <v>0</v>
      </c>
      <c r="M33" s="408">
        <f t="shared" ref="M33" si="56">M30+M31-M32</f>
        <v>0</v>
      </c>
      <c r="N33" s="408">
        <f t="shared" ref="N33" si="57">N30+N31-N32</f>
        <v>1.3199999999999998</v>
      </c>
      <c r="O33" s="408">
        <f>O30+O31-O32</f>
        <v>-70.319999999999993</v>
      </c>
      <c r="P33" s="408" t="s">
        <v>520</v>
      </c>
      <c r="Q33" s="520"/>
    </row>
    <row r="34" spans="3:17">
      <c r="D34" s="408">
        <f t="shared" ref="D34:M34" si="58">E34</f>
        <v>1500000</v>
      </c>
      <c r="E34" s="408">
        <f t="shared" si="58"/>
        <v>1500000</v>
      </c>
      <c r="F34" s="408">
        <f t="shared" si="58"/>
        <v>1500000</v>
      </c>
      <c r="G34" s="408">
        <f t="shared" si="58"/>
        <v>1500000</v>
      </c>
      <c r="H34" s="408">
        <f t="shared" si="58"/>
        <v>1500000</v>
      </c>
      <c r="I34" s="408">
        <f t="shared" si="58"/>
        <v>1500000</v>
      </c>
      <c r="J34" s="408">
        <f t="shared" si="58"/>
        <v>1500000</v>
      </c>
      <c r="K34" s="408">
        <f t="shared" si="58"/>
        <v>1500000</v>
      </c>
      <c r="L34" s="408">
        <f t="shared" si="58"/>
        <v>1500000</v>
      </c>
      <c r="M34" s="408">
        <f t="shared" si="58"/>
        <v>1500000</v>
      </c>
      <c r="N34" s="408">
        <f>O34</f>
        <v>1500000</v>
      </c>
      <c r="O34" s="408">
        <f>bom!K11</f>
        <v>1500000</v>
      </c>
      <c r="P34" s="410" t="s">
        <v>32</v>
      </c>
      <c r="Q34" s="520"/>
    </row>
    <row r="35" spans="3:17">
      <c r="C35" s="413">
        <f>SUM(D35:O35)</f>
        <v>-103499999.99999999</v>
      </c>
      <c r="D35" s="411">
        <f t="shared" ref="D35" si="59">D33*D34</f>
        <v>0</v>
      </c>
      <c r="E35" s="411">
        <f t="shared" ref="E35" si="60">E33*E34</f>
        <v>0</v>
      </c>
      <c r="F35" s="411">
        <f t="shared" ref="F35" si="61">F33*F34</f>
        <v>0</v>
      </c>
      <c r="G35" s="411">
        <f t="shared" ref="G35" si="62">G33*G34</f>
        <v>0</v>
      </c>
      <c r="H35" s="411">
        <f t="shared" ref="H35" si="63">H33*H34</f>
        <v>0</v>
      </c>
      <c r="I35" s="411">
        <f t="shared" ref="I35" si="64">I33*I34</f>
        <v>0</v>
      </c>
      <c r="J35" s="411">
        <f t="shared" ref="J35" si="65">J33*J34</f>
        <v>0</v>
      </c>
      <c r="K35" s="411">
        <f t="shared" ref="K35" si="66">K33*K34</f>
        <v>0</v>
      </c>
      <c r="L35" s="411">
        <f t="shared" ref="L35" si="67">L33*L34</f>
        <v>0</v>
      </c>
      <c r="M35" s="411">
        <f t="shared" ref="M35" si="68">M33*M34</f>
        <v>0</v>
      </c>
      <c r="N35" s="411">
        <f t="shared" ref="N35" si="69">N33*N34</f>
        <v>1979999.9999999998</v>
      </c>
      <c r="O35" s="411">
        <f>O33*O34</f>
        <v>-105479999.99999999</v>
      </c>
      <c r="P35" s="411" t="s">
        <v>519</v>
      </c>
      <c r="Q35" s="521"/>
    </row>
  </sheetData>
  <mergeCells count="3">
    <mergeCell ref="Q27:Q35"/>
    <mergeCell ref="Q16:Q24"/>
    <mergeCell ref="Q5:Q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27"/>
  <sheetViews>
    <sheetView topLeftCell="M1" workbookViewId="0">
      <selection activeCell="T1" sqref="T1"/>
    </sheetView>
  </sheetViews>
  <sheetFormatPr defaultColWidth="9.125" defaultRowHeight="23.25"/>
  <cols>
    <col min="1" max="1" width="9.125" style="24"/>
    <col min="2" max="2" width="9.125" style="24" customWidth="1"/>
    <col min="3" max="3" width="34.625" style="24" bestFit="1" customWidth="1"/>
    <col min="4" max="4" width="34.25" style="24" bestFit="1" customWidth="1"/>
    <col min="5" max="10" width="12.875" style="24" bestFit="1" customWidth="1"/>
    <col min="11" max="11" width="13.875" style="24" bestFit="1" customWidth="1"/>
    <col min="12" max="14" width="12.875" style="24" bestFit="1" customWidth="1"/>
    <col min="15" max="15" width="18.625" style="24" bestFit="1" customWidth="1"/>
    <col min="16" max="16" width="15.75" style="24" bestFit="1" customWidth="1"/>
    <col min="17" max="17" width="49.75" style="24" bestFit="1" customWidth="1"/>
    <col min="18" max="18" width="6.75" style="328" customWidth="1"/>
    <col min="19" max="19" width="12.75" style="24" bestFit="1" customWidth="1"/>
    <col min="20" max="20" width="41.875" style="24" bestFit="1" customWidth="1"/>
    <col min="21" max="16384" width="9.125" style="24"/>
  </cols>
  <sheetData>
    <row r="2" spans="3:27">
      <c r="D2" s="418" t="s">
        <v>458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20"/>
      <c r="R2" s="327"/>
    </row>
    <row r="3" spans="3:27">
      <c r="D3" s="421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3"/>
      <c r="R3" s="327"/>
    </row>
    <row r="4" spans="3:27" ht="24" thickBot="1">
      <c r="D4" s="396"/>
      <c r="E4" s="310">
        <f t="shared" ref="E4:N5" si="0">F4</f>
        <v>1</v>
      </c>
      <c r="F4" s="310">
        <f t="shared" si="0"/>
        <v>1</v>
      </c>
      <c r="G4" s="310">
        <f t="shared" si="0"/>
        <v>1</v>
      </c>
      <c r="H4" s="310">
        <f t="shared" si="0"/>
        <v>1</v>
      </c>
      <c r="I4" s="310">
        <f t="shared" si="0"/>
        <v>1</v>
      </c>
      <c r="J4" s="310">
        <f t="shared" si="0"/>
        <v>1</v>
      </c>
      <c r="K4" s="310">
        <f t="shared" si="0"/>
        <v>1</v>
      </c>
      <c r="L4" s="310">
        <f t="shared" si="0"/>
        <v>1</v>
      </c>
      <c r="M4" s="310">
        <f t="shared" si="0"/>
        <v>1</v>
      </c>
      <c r="N4" s="310">
        <f>O4</f>
        <v>1</v>
      </c>
      <c r="O4" s="310">
        <f>P4</f>
        <v>1</v>
      </c>
      <c r="P4" s="397">
        <v>1</v>
      </c>
      <c r="Q4" s="396" t="s">
        <v>456</v>
      </c>
      <c r="R4" s="327"/>
    </row>
    <row r="5" spans="3:27" ht="24.75" thickTop="1" thickBot="1">
      <c r="D5" s="396"/>
      <c r="E5" s="310">
        <f t="shared" si="0"/>
        <v>1</v>
      </c>
      <c r="F5" s="310">
        <f t="shared" si="0"/>
        <v>1</v>
      </c>
      <c r="G5" s="310">
        <f t="shared" si="0"/>
        <v>1</v>
      </c>
      <c r="H5" s="310">
        <f t="shared" si="0"/>
        <v>1</v>
      </c>
      <c r="I5" s="310">
        <f t="shared" si="0"/>
        <v>1</v>
      </c>
      <c r="J5" s="310">
        <f t="shared" si="0"/>
        <v>1</v>
      </c>
      <c r="K5" s="310">
        <f t="shared" si="0"/>
        <v>1</v>
      </c>
      <c r="L5" s="310">
        <f t="shared" si="0"/>
        <v>1</v>
      </c>
      <c r="M5" s="310">
        <f t="shared" si="0"/>
        <v>1</v>
      </c>
      <c r="N5" s="310">
        <f t="shared" si="0"/>
        <v>1</v>
      </c>
      <c r="O5" s="310">
        <v>1</v>
      </c>
      <c r="P5" s="397">
        <v>1</v>
      </c>
      <c r="Q5" s="396" t="s">
        <v>455</v>
      </c>
      <c r="R5" s="327"/>
      <c r="S5" s="180"/>
      <c r="T5" s="180" t="s">
        <v>378</v>
      </c>
    </row>
    <row r="6" spans="3:27" ht="27" customHeight="1" thickTop="1" thickBot="1">
      <c r="C6" s="179"/>
      <c r="D6" s="307" t="s">
        <v>384</v>
      </c>
      <c r="E6" s="307" t="s">
        <v>11</v>
      </c>
      <c r="F6" s="307" t="s">
        <v>10</v>
      </c>
      <c r="G6" s="307" t="s">
        <v>9</v>
      </c>
      <c r="H6" s="307" t="s">
        <v>8</v>
      </c>
      <c r="I6" s="307" t="s">
        <v>7</v>
      </c>
      <c r="J6" s="307" t="s">
        <v>6</v>
      </c>
      <c r="K6" s="307" t="s">
        <v>5</v>
      </c>
      <c r="L6" s="307" t="s">
        <v>4</v>
      </c>
      <c r="M6" s="307" t="s">
        <v>3</v>
      </c>
      <c r="N6" s="307" t="s">
        <v>2</v>
      </c>
      <c r="O6" s="307" t="s">
        <v>1</v>
      </c>
      <c r="P6" s="308" t="s">
        <v>0</v>
      </c>
      <c r="Q6" s="399" t="s">
        <v>436</v>
      </c>
      <c r="R6" s="327"/>
      <c r="S6" s="180"/>
      <c r="T6" s="180" t="s">
        <v>379</v>
      </c>
      <c r="AA6" s="89"/>
    </row>
    <row r="7" spans="3:27" ht="24.75" customHeight="1" thickTop="1" thickBot="1">
      <c r="C7" s="175"/>
      <c r="D7" s="89">
        <f>SUM(E7:Q7)</f>
        <v>0</v>
      </c>
      <c r="E7" s="89">
        <f t="shared" ref="E7:N7" si="1">$S7*E4</f>
        <v>0</v>
      </c>
      <c r="F7" s="89">
        <f t="shared" si="1"/>
        <v>0</v>
      </c>
      <c r="G7" s="89">
        <f t="shared" si="1"/>
        <v>0</v>
      </c>
      <c r="H7" s="89">
        <f t="shared" si="1"/>
        <v>0</v>
      </c>
      <c r="I7" s="89">
        <f t="shared" si="1"/>
        <v>0</v>
      </c>
      <c r="J7" s="89">
        <f t="shared" si="1"/>
        <v>0</v>
      </c>
      <c r="K7" s="89">
        <f t="shared" si="1"/>
        <v>0</v>
      </c>
      <c r="L7" s="89">
        <f t="shared" si="1"/>
        <v>0</v>
      </c>
      <c r="M7" s="89">
        <f t="shared" si="1"/>
        <v>0</v>
      </c>
      <c r="N7" s="89">
        <f t="shared" si="1"/>
        <v>0</v>
      </c>
      <c r="O7" s="89">
        <f>$S7*O4</f>
        <v>0</v>
      </c>
      <c r="P7" s="398">
        <f>$S6*P4</f>
        <v>0</v>
      </c>
      <c r="Q7" s="400" t="s">
        <v>13</v>
      </c>
      <c r="R7" s="327"/>
      <c r="S7" s="180">
        <f>S6</f>
        <v>0</v>
      </c>
      <c r="T7" s="180" t="s">
        <v>434</v>
      </c>
    </row>
    <row r="8" spans="3:27" ht="24.75" customHeight="1" thickBot="1">
      <c r="C8" s="175"/>
      <c r="D8" s="89" t="e">
        <f>D9/D7</f>
        <v>#DIV/0!</v>
      </c>
      <c r="E8" s="89">
        <f t="shared" ref="E8:P8" si="2">$S5*E5</f>
        <v>0</v>
      </c>
      <c r="F8" s="89">
        <f t="shared" si="2"/>
        <v>0</v>
      </c>
      <c r="G8" s="89">
        <f t="shared" si="2"/>
        <v>0</v>
      </c>
      <c r="H8" s="89">
        <f t="shared" si="2"/>
        <v>0</v>
      </c>
      <c r="I8" s="89">
        <f t="shared" si="2"/>
        <v>0</v>
      </c>
      <c r="J8" s="89">
        <f t="shared" si="2"/>
        <v>0</v>
      </c>
      <c r="K8" s="89">
        <f t="shared" si="2"/>
        <v>0</v>
      </c>
      <c r="L8" s="89">
        <f t="shared" si="2"/>
        <v>0</v>
      </c>
      <c r="M8" s="89">
        <f t="shared" si="2"/>
        <v>0</v>
      </c>
      <c r="N8" s="89">
        <f t="shared" si="2"/>
        <v>0</v>
      </c>
      <c r="O8" s="89">
        <f t="shared" si="2"/>
        <v>0</v>
      </c>
      <c r="P8" s="398">
        <f t="shared" si="2"/>
        <v>0</v>
      </c>
      <c r="Q8" s="400" t="s">
        <v>14</v>
      </c>
      <c r="R8" s="327"/>
      <c r="S8" s="330">
        <v>0</v>
      </c>
      <c r="T8" s="331" t="s">
        <v>380</v>
      </c>
    </row>
    <row r="9" spans="3:27" ht="29.25" customHeight="1" thickTop="1" thickBot="1">
      <c r="C9" s="175"/>
      <c r="D9" s="401">
        <f>SUM(E9:Q9)</f>
        <v>0</v>
      </c>
      <c r="E9" s="401">
        <f t="shared" ref="E9:O9" si="3">E7*E8</f>
        <v>0</v>
      </c>
      <c r="F9" s="401">
        <f t="shared" si="3"/>
        <v>0</v>
      </c>
      <c r="G9" s="401">
        <f t="shared" si="3"/>
        <v>0</v>
      </c>
      <c r="H9" s="401">
        <f t="shared" si="3"/>
        <v>0</v>
      </c>
      <c r="I9" s="401">
        <f t="shared" si="3"/>
        <v>0</v>
      </c>
      <c r="J9" s="401">
        <f t="shared" si="3"/>
        <v>0</v>
      </c>
      <c r="K9" s="401">
        <f t="shared" si="3"/>
        <v>0</v>
      </c>
      <c r="L9" s="401">
        <f t="shared" si="3"/>
        <v>0</v>
      </c>
      <c r="M9" s="401">
        <f t="shared" si="3"/>
        <v>0</v>
      </c>
      <c r="N9" s="401">
        <f t="shared" si="3"/>
        <v>0</v>
      </c>
      <c r="O9" s="401">
        <f t="shared" si="3"/>
        <v>0</v>
      </c>
      <c r="P9" s="402">
        <f>P7*P8</f>
        <v>0</v>
      </c>
      <c r="Q9" s="403" t="s">
        <v>506</v>
      </c>
      <c r="R9" s="327"/>
      <c r="S9" s="329">
        <f>D7</f>
        <v>0</v>
      </c>
      <c r="T9" s="180" t="s">
        <v>381</v>
      </c>
    </row>
    <row r="10" spans="3:27" ht="29.25" customHeight="1" thickTop="1" thickBot="1">
      <c r="C10" s="155"/>
      <c r="D10" s="89">
        <f>SUM(E10:P10)</f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77" t="s">
        <v>507</v>
      </c>
      <c r="R10" s="327"/>
      <c r="S10" s="180" t="e">
        <f>(S8-S9)/S8*100</f>
        <v>#DIV/0!</v>
      </c>
      <c r="T10" s="180" t="s">
        <v>382</v>
      </c>
    </row>
    <row r="11" spans="3:27" ht="29.25" customHeight="1" thickBot="1">
      <c r="C11" s="155"/>
      <c r="D11" s="59">
        <f t="shared" ref="D11:O11" si="4">D9-D10</f>
        <v>0</v>
      </c>
      <c r="E11" s="59">
        <f t="shared" si="4"/>
        <v>0</v>
      </c>
      <c r="F11" s="59">
        <f t="shared" si="4"/>
        <v>0</v>
      </c>
      <c r="G11" s="59">
        <f t="shared" si="4"/>
        <v>0</v>
      </c>
      <c r="H11" s="59">
        <f t="shared" si="4"/>
        <v>0</v>
      </c>
      <c r="I11" s="59">
        <f t="shared" si="4"/>
        <v>0</v>
      </c>
      <c r="J11" s="59">
        <f t="shared" si="4"/>
        <v>0</v>
      </c>
      <c r="K11" s="59">
        <f t="shared" si="4"/>
        <v>0</v>
      </c>
      <c r="L11" s="59">
        <f t="shared" si="4"/>
        <v>0</v>
      </c>
      <c r="M11" s="59">
        <f t="shared" si="4"/>
        <v>0</v>
      </c>
      <c r="N11" s="59">
        <f t="shared" si="4"/>
        <v>0</v>
      </c>
      <c r="O11" s="59">
        <f t="shared" si="4"/>
        <v>0</v>
      </c>
      <c r="P11" s="59">
        <f>P9-P10</f>
        <v>0</v>
      </c>
      <c r="Q11" s="60" t="s">
        <v>505</v>
      </c>
      <c r="R11" s="327"/>
      <c r="S11" s="343"/>
      <c r="T11" s="343"/>
    </row>
    <row r="12" spans="3:27" ht="29.25" customHeight="1" thickBo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3:27" ht="29.25" customHeight="1" thickTop="1" thickBot="1">
      <c r="C13" s="156" t="s">
        <v>347</v>
      </c>
      <c r="D13" s="156" t="str">
        <f t="shared" ref="D13:O13" si="5">D6</f>
        <v>جمع فروش سال 93</v>
      </c>
      <c r="E13" s="156" t="str">
        <f t="shared" si="5"/>
        <v xml:space="preserve">اسفند </v>
      </c>
      <c r="F13" s="156" t="str">
        <f t="shared" si="5"/>
        <v>بهمن</v>
      </c>
      <c r="G13" s="156" t="str">
        <f t="shared" si="5"/>
        <v>دی</v>
      </c>
      <c r="H13" s="156" t="str">
        <f t="shared" si="5"/>
        <v>اذر</v>
      </c>
      <c r="I13" s="156" t="str">
        <f t="shared" si="5"/>
        <v>آبان</v>
      </c>
      <c r="J13" s="156" t="str">
        <f t="shared" si="5"/>
        <v>مهر</v>
      </c>
      <c r="K13" s="156" t="str">
        <f t="shared" si="5"/>
        <v>شهریور</v>
      </c>
      <c r="L13" s="156" t="str">
        <f t="shared" si="5"/>
        <v>مرداد</v>
      </c>
      <c r="M13" s="156" t="str">
        <f t="shared" si="5"/>
        <v xml:space="preserve">تیر </v>
      </c>
      <c r="N13" s="156" t="str">
        <f t="shared" si="5"/>
        <v>خرداد</v>
      </c>
      <c r="O13" s="156" t="str">
        <f t="shared" si="5"/>
        <v>اردیبهشت</v>
      </c>
      <c r="P13" s="156" t="str">
        <f>P6</f>
        <v xml:space="preserve">فروردین </v>
      </c>
      <c r="Q13" s="156" t="s">
        <v>346</v>
      </c>
      <c r="R13" s="327"/>
    </row>
    <row r="14" spans="3:27" ht="24.95" customHeight="1" thickTop="1" thickBot="1">
      <c r="C14" s="176"/>
      <c r="D14" s="176">
        <f>SUM(E14:P14)</f>
        <v>0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 t="s">
        <v>17</v>
      </c>
      <c r="R14" s="327"/>
    </row>
    <row r="15" spans="3:27" ht="24.95" customHeight="1" thickBot="1">
      <c r="C15" s="177"/>
      <c r="D15" s="176">
        <f t="shared" ref="D15:D25" si="6">SUM(E15:P15)</f>
        <v>0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6"/>
      <c r="O15" s="177"/>
      <c r="P15" s="177"/>
      <c r="Q15" s="177" t="s">
        <v>18</v>
      </c>
      <c r="R15" s="327"/>
    </row>
    <row r="16" spans="3:27" ht="24.95" customHeight="1" thickBot="1">
      <c r="C16" s="177"/>
      <c r="D16" s="176">
        <f t="shared" si="6"/>
        <v>0</v>
      </c>
      <c r="E16" s="177"/>
      <c r="F16" s="177"/>
      <c r="G16" s="177"/>
      <c r="H16" s="177"/>
      <c r="I16" s="177"/>
      <c r="J16" s="177"/>
      <c r="K16" s="177"/>
      <c r="L16" s="177"/>
      <c r="M16" s="176"/>
      <c r="N16" s="177"/>
      <c r="O16" s="177"/>
      <c r="P16" s="177"/>
      <c r="Q16" s="177" t="s">
        <v>19</v>
      </c>
      <c r="R16" s="327"/>
    </row>
    <row r="17" spans="3:18" ht="24.95" customHeight="1" thickBot="1">
      <c r="C17" s="177"/>
      <c r="D17" s="176">
        <f t="shared" si="6"/>
        <v>0</v>
      </c>
      <c r="E17" s="177"/>
      <c r="F17" s="177"/>
      <c r="G17" s="177"/>
      <c r="H17" s="177"/>
      <c r="I17" s="177"/>
      <c r="J17" s="177"/>
      <c r="K17" s="177"/>
      <c r="L17" s="176"/>
      <c r="M17" s="177"/>
      <c r="N17" s="177"/>
      <c r="O17" s="177"/>
      <c r="P17" s="177"/>
      <c r="Q17" s="177" t="s">
        <v>20</v>
      </c>
      <c r="R17" s="327"/>
    </row>
    <row r="18" spans="3:18" ht="24.95" customHeight="1" thickBot="1">
      <c r="C18" s="177"/>
      <c r="D18" s="176">
        <f t="shared" si="6"/>
        <v>0</v>
      </c>
      <c r="E18" s="177"/>
      <c r="F18" s="177"/>
      <c r="G18" s="177"/>
      <c r="H18" s="177"/>
      <c r="I18" s="177"/>
      <c r="J18" s="177"/>
      <c r="K18" s="176"/>
      <c r="L18" s="177"/>
      <c r="M18" s="178"/>
      <c r="N18" s="178"/>
      <c r="O18" s="178"/>
      <c r="P18" s="178"/>
      <c r="Q18" s="177" t="s">
        <v>21</v>
      </c>
      <c r="R18" s="327"/>
    </row>
    <row r="19" spans="3:18" ht="24.95" customHeight="1" thickBot="1">
      <c r="C19" s="177"/>
      <c r="D19" s="176">
        <f t="shared" si="6"/>
        <v>0</v>
      </c>
      <c r="E19" s="177"/>
      <c r="F19" s="177"/>
      <c r="G19" s="177"/>
      <c r="H19" s="177"/>
      <c r="I19" s="177"/>
      <c r="J19" s="176"/>
      <c r="K19" s="177"/>
      <c r="L19" s="177"/>
      <c r="M19" s="177"/>
      <c r="N19" s="177"/>
      <c r="O19" s="177"/>
      <c r="P19" s="177"/>
      <c r="Q19" s="177" t="s">
        <v>22</v>
      </c>
      <c r="R19" s="327"/>
    </row>
    <row r="20" spans="3:18" ht="24.95" customHeight="1" thickBot="1">
      <c r="C20" s="177"/>
      <c r="D20" s="176">
        <f t="shared" si="6"/>
        <v>0</v>
      </c>
      <c r="E20" s="177"/>
      <c r="F20" s="177"/>
      <c r="G20" s="177"/>
      <c r="H20" s="177"/>
      <c r="I20" s="176"/>
      <c r="J20" s="177"/>
      <c r="K20" s="177"/>
      <c r="L20" s="177"/>
      <c r="M20" s="177"/>
      <c r="N20" s="177"/>
      <c r="O20" s="177"/>
      <c r="P20" s="177"/>
      <c r="Q20" s="177" t="s">
        <v>23</v>
      </c>
      <c r="R20" s="327"/>
    </row>
    <row r="21" spans="3:18" ht="24.95" customHeight="1" thickBot="1">
      <c r="C21" s="177"/>
      <c r="D21" s="176">
        <f t="shared" si="6"/>
        <v>0</v>
      </c>
      <c r="E21" s="177"/>
      <c r="F21" s="177"/>
      <c r="G21" s="177"/>
      <c r="H21" s="176"/>
      <c r="I21" s="177"/>
      <c r="J21" s="177"/>
      <c r="K21" s="177"/>
      <c r="L21" s="177"/>
      <c r="M21" s="177"/>
      <c r="N21" s="177"/>
      <c r="O21" s="177"/>
      <c r="P21" s="177"/>
      <c r="Q21" s="177" t="s">
        <v>24</v>
      </c>
      <c r="R21" s="327"/>
    </row>
    <row r="22" spans="3:18" ht="24.95" customHeight="1" thickBot="1">
      <c r="C22" s="177"/>
      <c r="D22" s="176">
        <f t="shared" si="6"/>
        <v>0</v>
      </c>
      <c r="E22" s="177"/>
      <c r="F22" s="177"/>
      <c r="G22" s="176"/>
      <c r="H22" s="177"/>
      <c r="I22" s="178"/>
      <c r="J22" s="178"/>
      <c r="K22" s="178"/>
      <c r="L22" s="178"/>
      <c r="M22" s="178"/>
      <c r="N22" s="178"/>
      <c r="O22" s="178"/>
      <c r="P22" s="178"/>
      <c r="Q22" s="177" t="s">
        <v>25</v>
      </c>
      <c r="R22" s="327"/>
    </row>
    <row r="23" spans="3:18" ht="24.95" customHeight="1" thickBot="1">
      <c r="C23" s="177"/>
      <c r="D23" s="176">
        <f t="shared" si="6"/>
        <v>0</v>
      </c>
      <c r="E23" s="177"/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 t="s">
        <v>26</v>
      </c>
      <c r="R23" s="327"/>
    </row>
    <row r="24" spans="3:18" ht="50.25" customHeight="1" thickBot="1">
      <c r="C24" s="177"/>
      <c r="D24" s="176">
        <f t="shared" si="6"/>
        <v>0</v>
      </c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 t="s">
        <v>27</v>
      </c>
      <c r="R24" s="327"/>
    </row>
    <row r="25" spans="3:18" ht="30" customHeight="1" thickBot="1">
      <c r="C25" s="177"/>
      <c r="D25" s="176">
        <f t="shared" si="6"/>
        <v>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 t="s">
        <v>28</v>
      </c>
      <c r="R25" s="327"/>
    </row>
    <row r="26" spans="3:18" ht="24" thickBot="1">
      <c r="C26" s="181">
        <f t="shared" ref="C26:O26" si="7">SUM(C14:C25)</f>
        <v>0</v>
      </c>
      <c r="D26" s="181">
        <f t="shared" si="7"/>
        <v>0</v>
      </c>
      <c r="E26" s="181">
        <f t="shared" si="7"/>
        <v>0</v>
      </c>
      <c r="F26" s="181">
        <f t="shared" si="7"/>
        <v>0</v>
      </c>
      <c r="G26" s="181">
        <f t="shared" si="7"/>
        <v>0</v>
      </c>
      <c r="H26" s="181">
        <f t="shared" si="7"/>
        <v>0</v>
      </c>
      <c r="I26" s="181">
        <f t="shared" si="7"/>
        <v>0</v>
      </c>
      <c r="J26" s="181">
        <f t="shared" si="7"/>
        <v>0</v>
      </c>
      <c r="K26" s="181">
        <f t="shared" si="7"/>
        <v>0</v>
      </c>
      <c r="L26" s="181">
        <f t="shared" si="7"/>
        <v>0</v>
      </c>
      <c r="M26" s="181">
        <f t="shared" si="7"/>
        <v>0</v>
      </c>
      <c r="N26" s="181">
        <f t="shared" si="7"/>
        <v>0</v>
      </c>
      <c r="O26" s="181">
        <f t="shared" si="7"/>
        <v>0</v>
      </c>
      <c r="P26" s="181">
        <f>SUM(P14:P25)</f>
        <v>0</v>
      </c>
      <c r="Q26" s="182" t="s">
        <v>29</v>
      </c>
      <c r="R26" s="155"/>
    </row>
    <row r="27" spans="3:18" ht="24" thickBot="1">
      <c r="C27" s="183" t="s">
        <v>348</v>
      </c>
      <c r="D27" s="415" t="s">
        <v>349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7"/>
      <c r="R27" s="155"/>
    </row>
  </sheetData>
  <mergeCells count="2">
    <mergeCell ref="D2:Q3"/>
    <mergeCell ref="D27:Q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27"/>
  <sheetViews>
    <sheetView topLeftCell="R2" workbookViewId="0">
      <selection activeCell="X6" sqref="X6"/>
    </sheetView>
  </sheetViews>
  <sheetFormatPr defaultColWidth="9" defaultRowHeight="23.25"/>
  <cols>
    <col min="1" max="2" width="9" style="24"/>
    <col min="3" max="3" width="32.875" style="24" bestFit="1" customWidth="1"/>
    <col min="4" max="4" width="33.375" style="24" bestFit="1" customWidth="1"/>
    <col min="5" max="5" width="12" style="24" bestFit="1" customWidth="1"/>
    <col min="6" max="6" width="9.625" style="24" bestFit="1" customWidth="1"/>
    <col min="7" max="8" width="6.375" style="24" bestFit="1" customWidth="1"/>
    <col min="9" max="9" width="7.25" style="24" bestFit="1" customWidth="1"/>
    <col min="10" max="10" width="7" style="24" bestFit="1" customWidth="1"/>
    <col min="11" max="11" width="13.625" style="24" bestFit="1" customWidth="1"/>
    <col min="12" max="12" width="9.75" style="24" bestFit="1" customWidth="1"/>
    <col min="13" max="13" width="6.375" style="24" bestFit="1" customWidth="1"/>
    <col min="14" max="14" width="10.25" style="24" bestFit="1" customWidth="1"/>
    <col min="15" max="15" width="17.875" style="24" bestFit="1" customWidth="1"/>
    <col min="16" max="16" width="15" style="24" bestFit="1" customWidth="1"/>
    <col min="17" max="17" width="48.625" style="24" bestFit="1" customWidth="1"/>
    <col min="18" max="18" width="9" style="328"/>
    <col min="19" max="19" width="20.625" style="24" bestFit="1" customWidth="1"/>
    <col min="20" max="20" width="40.625" style="24" bestFit="1" customWidth="1"/>
    <col min="21" max="21" width="20.375" style="24" bestFit="1" customWidth="1"/>
    <col min="22" max="22" width="24" style="24" bestFit="1" customWidth="1"/>
    <col min="23" max="16384" width="9" style="24"/>
  </cols>
  <sheetData>
    <row r="2" spans="3:27">
      <c r="D2" s="418" t="s">
        <v>508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20"/>
      <c r="R2" s="327"/>
    </row>
    <row r="3" spans="3:27">
      <c r="D3" s="421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3"/>
      <c r="R3" s="327"/>
    </row>
    <row r="4" spans="3:27" ht="24" thickBot="1">
      <c r="D4" s="396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97"/>
      <c r="Q4" s="396"/>
      <c r="R4" s="327"/>
    </row>
    <row r="5" spans="3:27" ht="24.75" thickTop="1" thickBot="1">
      <c r="D5" s="396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97"/>
      <c r="Q5" s="396"/>
      <c r="R5" s="327"/>
      <c r="S5" s="180"/>
      <c r="T5" s="180" t="s">
        <v>378</v>
      </c>
    </row>
    <row r="6" spans="3:27" ht="27" customHeight="1" thickTop="1" thickBot="1">
      <c r="C6" s="179"/>
      <c r="D6" s="307" t="s">
        <v>384</v>
      </c>
      <c r="E6" s="307" t="s">
        <v>11</v>
      </c>
      <c r="F6" s="307" t="s">
        <v>10</v>
      </c>
      <c r="G6" s="307" t="s">
        <v>9</v>
      </c>
      <c r="H6" s="307" t="s">
        <v>8</v>
      </c>
      <c r="I6" s="307" t="s">
        <v>7</v>
      </c>
      <c r="J6" s="307" t="s">
        <v>6</v>
      </c>
      <c r="K6" s="307" t="s">
        <v>5</v>
      </c>
      <c r="L6" s="307" t="s">
        <v>4</v>
      </c>
      <c r="M6" s="307" t="s">
        <v>3</v>
      </c>
      <c r="N6" s="307" t="s">
        <v>2</v>
      </c>
      <c r="O6" s="307" t="s">
        <v>1</v>
      </c>
      <c r="P6" s="308" t="s">
        <v>0</v>
      </c>
      <c r="Q6" s="399" t="s">
        <v>436</v>
      </c>
      <c r="R6" s="327"/>
      <c r="S6" s="180">
        <f>'فروش - محصول A'!S6+'فروش محصول B'!S6+'فروش محصول C'!S6</f>
        <v>0</v>
      </c>
      <c r="T6" s="180" t="s">
        <v>379</v>
      </c>
      <c r="AA6" s="89"/>
    </row>
    <row r="7" spans="3:27" ht="24.75" customHeight="1" thickTop="1" thickBot="1">
      <c r="C7" s="175"/>
      <c r="D7" s="404">
        <f>'فروش - محصول A'!D7+'فروش محصول B'!D7+'فروش محصول C'!D7</f>
        <v>0</v>
      </c>
      <c r="E7" s="404">
        <f>'فروش - محصول A'!E7+'فروش محصول B'!E7+'فروش محصول C'!E7</f>
        <v>0</v>
      </c>
      <c r="F7" s="404">
        <f>'فروش - محصول A'!F7+'فروش محصول B'!F7+'فروش محصول C'!F7</f>
        <v>0</v>
      </c>
      <c r="G7" s="404">
        <f>'فروش - محصول A'!G7+'فروش محصول B'!G7+'فروش محصول C'!G7</f>
        <v>0</v>
      </c>
      <c r="H7" s="404">
        <f>'فروش - محصول A'!H7+'فروش محصول B'!H7+'فروش محصول C'!H7</f>
        <v>0</v>
      </c>
      <c r="I7" s="404">
        <f>'فروش - محصول A'!I7+'فروش محصول B'!I7+'فروش محصول C'!I7</f>
        <v>0</v>
      </c>
      <c r="J7" s="404">
        <f>'فروش - محصول A'!J7+'فروش محصول B'!J7+'فروش محصول C'!J7</f>
        <v>0</v>
      </c>
      <c r="K7" s="404">
        <f>'فروش - محصول A'!K7+'فروش محصول B'!K7+'فروش محصول C'!K7</f>
        <v>0</v>
      </c>
      <c r="L7" s="404">
        <f>'فروش - محصول A'!L7+'فروش محصول B'!L7+'فروش محصول C'!L7</f>
        <v>0</v>
      </c>
      <c r="M7" s="404">
        <f>'فروش - محصول A'!M7+'فروش محصول B'!M7+'فروش محصول C'!M7</f>
        <v>0</v>
      </c>
      <c r="N7" s="404">
        <f>'فروش - محصول A'!N7+'فروش محصول B'!N7+'فروش محصول C'!N7</f>
        <v>0</v>
      </c>
      <c r="O7" s="404">
        <f>'فروش - محصول A'!O7+'فروش محصول B'!O7+'فروش محصول C'!O7</f>
        <v>0</v>
      </c>
      <c r="P7" s="404">
        <f>'فروش - محصول A'!P7+'فروش محصول B'!P7+'فروش محصول C'!P7</f>
        <v>0</v>
      </c>
      <c r="Q7" s="400" t="s">
        <v>13</v>
      </c>
      <c r="R7" s="327"/>
      <c r="S7" s="180">
        <f>'فروش - محصول A'!S7+'فروش محصول B'!S7+'فروش محصول C'!S7</f>
        <v>0</v>
      </c>
      <c r="T7" s="180" t="s">
        <v>434</v>
      </c>
    </row>
    <row r="8" spans="3:27" ht="24.75" customHeight="1" thickTop="1" thickBot="1">
      <c r="C8" s="175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398"/>
      <c r="Q8" s="400" t="s">
        <v>14</v>
      </c>
      <c r="R8" s="327"/>
      <c r="S8" s="180">
        <f>'فروش - محصول A'!S8+'فروش محصول B'!S8+'فروش محصول C'!S8</f>
        <v>0</v>
      </c>
      <c r="T8" s="331" t="s">
        <v>380</v>
      </c>
    </row>
    <row r="9" spans="3:27" ht="29.25" customHeight="1" thickTop="1" thickBot="1">
      <c r="C9" s="175"/>
      <c r="D9" s="402">
        <f>'فروش - محصول A'!D9+'فروش محصول B'!D9+'فروش محصول C'!D9</f>
        <v>0</v>
      </c>
      <c r="E9" s="402">
        <f>'فروش - محصول A'!E9+'فروش محصول B'!E9+'فروش محصول C'!E9</f>
        <v>0</v>
      </c>
      <c r="F9" s="402">
        <f>'فروش - محصول A'!F9+'فروش محصول B'!F9+'فروش محصول C'!F9</f>
        <v>0</v>
      </c>
      <c r="G9" s="402">
        <f>'فروش - محصول A'!G9+'فروش محصول B'!G9+'فروش محصول C'!G9</f>
        <v>0</v>
      </c>
      <c r="H9" s="402">
        <f>'فروش - محصول A'!H9+'فروش محصول B'!H9+'فروش محصول C'!H9</f>
        <v>0</v>
      </c>
      <c r="I9" s="402">
        <f>'فروش - محصول A'!I9+'فروش محصول B'!I9+'فروش محصول C'!I9</f>
        <v>0</v>
      </c>
      <c r="J9" s="402">
        <f>'فروش - محصول A'!J9+'فروش محصول B'!J9+'فروش محصول C'!J9</f>
        <v>0</v>
      </c>
      <c r="K9" s="402">
        <f>'فروش - محصول A'!K9+'فروش محصول B'!K9+'فروش محصول C'!K9</f>
        <v>0</v>
      </c>
      <c r="L9" s="402">
        <f>'فروش - محصول A'!L9+'فروش محصول B'!L9+'فروش محصول C'!L9</f>
        <v>0</v>
      </c>
      <c r="M9" s="402">
        <f>'فروش - محصول A'!M9+'فروش محصول B'!M9+'فروش محصول C'!M9</f>
        <v>0</v>
      </c>
      <c r="N9" s="402">
        <f>'فروش - محصول A'!N9+'فروش محصول B'!N9+'فروش محصول C'!N9</f>
        <v>0</v>
      </c>
      <c r="O9" s="402">
        <f>'فروش - محصول A'!O9+'فروش محصول B'!O9+'فروش محصول C'!O9</f>
        <v>0</v>
      </c>
      <c r="P9" s="402">
        <f>'فروش - محصول A'!P9+'فروش محصول B'!P9+'فروش محصول C'!P9</f>
        <v>0</v>
      </c>
      <c r="Q9" s="403" t="s">
        <v>506</v>
      </c>
      <c r="R9" s="327"/>
      <c r="S9" s="180">
        <f>'فروش - محصول A'!S9+'فروش محصول B'!S9+'فروش محصول C'!S9</f>
        <v>0</v>
      </c>
      <c r="T9" s="180" t="s">
        <v>381</v>
      </c>
    </row>
    <row r="10" spans="3:27" ht="29.25" customHeight="1" thickTop="1" thickBot="1">
      <c r="C10" s="155"/>
      <c r="D10" s="89">
        <f>SUM(E10:P10)</f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77" t="s">
        <v>507</v>
      </c>
      <c r="R10" s="327"/>
      <c r="S10" s="180" t="e">
        <f>(S8-S9)/S8*100</f>
        <v>#DIV/0!</v>
      </c>
      <c r="T10" s="180" t="s">
        <v>382</v>
      </c>
    </row>
    <row r="11" spans="3:27" ht="29.25" customHeight="1" thickBot="1">
      <c r="C11" s="155"/>
      <c r="D11" s="402">
        <f>'فروش - محصول A'!D11+'فروش محصول B'!D11+'فروش محصول C'!D11</f>
        <v>0</v>
      </c>
      <c r="E11" s="402">
        <f>'فروش - محصول A'!E11+'فروش محصول B'!E11+'فروش محصول C'!E11</f>
        <v>0</v>
      </c>
      <c r="F11" s="402">
        <f>'فروش - محصول A'!F11+'فروش محصول B'!F11+'فروش محصول C'!F11</f>
        <v>0</v>
      </c>
      <c r="G11" s="402">
        <f>'فروش - محصول A'!G11+'فروش محصول B'!G11+'فروش محصول C'!G11</f>
        <v>0</v>
      </c>
      <c r="H11" s="402">
        <f>'فروش - محصول A'!H11+'فروش محصول B'!H11+'فروش محصول C'!H11</f>
        <v>0</v>
      </c>
      <c r="I11" s="402">
        <f>'فروش - محصول A'!I11+'فروش محصول B'!I11+'فروش محصول C'!I11</f>
        <v>0</v>
      </c>
      <c r="J11" s="402">
        <f>'فروش - محصول A'!J11+'فروش محصول B'!J11+'فروش محصول C'!J11</f>
        <v>0</v>
      </c>
      <c r="K11" s="402">
        <f>'فروش - محصول A'!K11+'فروش محصول B'!K11+'فروش محصول C'!K11</f>
        <v>0</v>
      </c>
      <c r="L11" s="402">
        <f>'فروش - محصول A'!L11+'فروش محصول B'!L11+'فروش محصول C'!L11</f>
        <v>0</v>
      </c>
      <c r="M11" s="402">
        <f>'فروش - محصول A'!M11+'فروش محصول B'!M11+'فروش محصول C'!M11</f>
        <v>0</v>
      </c>
      <c r="N11" s="402">
        <f>'فروش - محصول A'!N11+'فروش محصول B'!N11+'فروش محصول C'!N11</f>
        <v>0</v>
      </c>
      <c r="O11" s="402">
        <f>'فروش - محصول A'!O11+'فروش محصول B'!O11+'فروش محصول C'!O11</f>
        <v>0</v>
      </c>
      <c r="P11" s="402">
        <f>'فروش - محصول A'!P11+'فروش محصول B'!P11+'فروش محصول C'!P11</f>
        <v>0</v>
      </c>
      <c r="Q11" s="60" t="s">
        <v>505</v>
      </c>
      <c r="R11" s="327"/>
      <c r="S11" s="343"/>
      <c r="T11" s="343"/>
    </row>
    <row r="12" spans="3:27" ht="29.25" customHeight="1" thickBo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3:27" ht="29.25" customHeight="1" thickTop="1" thickBot="1">
      <c r="C13" s="156" t="s">
        <v>347</v>
      </c>
      <c r="D13" s="156" t="str">
        <f t="shared" ref="D13:O13" si="0">D6</f>
        <v>جمع فروش سال 93</v>
      </c>
      <c r="E13" s="156" t="str">
        <f t="shared" si="0"/>
        <v xml:space="preserve">اسفند </v>
      </c>
      <c r="F13" s="156" t="str">
        <f t="shared" si="0"/>
        <v>بهمن</v>
      </c>
      <c r="G13" s="156" t="str">
        <f t="shared" si="0"/>
        <v>دی</v>
      </c>
      <c r="H13" s="156" t="str">
        <f t="shared" si="0"/>
        <v>اذر</v>
      </c>
      <c r="I13" s="156" t="str">
        <f t="shared" si="0"/>
        <v>آبان</v>
      </c>
      <c r="J13" s="156" t="str">
        <f t="shared" si="0"/>
        <v>مهر</v>
      </c>
      <c r="K13" s="156" t="str">
        <f t="shared" si="0"/>
        <v>شهریور</v>
      </c>
      <c r="L13" s="156" t="str">
        <f t="shared" si="0"/>
        <v>مرداد</v>
      </c>
      <c r="M13" s="156" t="str">
        <f t="shared" si="0"/>
        <v xml:space="preserve">تیر </v>
      </c>
      <c r="N13" s="156" t="str">
        <f t="shared" si="0"/>
        <v>خرداد</v>
      </c>
      <c r="O13" s="156" t="str">
        <f t="shared" si="0"/>
        <v>اردیبهشت</v>
      </c>
      <c r="P13" s="156" t="str">
        <f>P6</f>
        <v xml:space="preserve">فروردین </v>
      </c>
      <c r="Q13" s="156" t="s">
        <v>346</v>
      </c>
      <c r="R13" s="327"/>
      <c r="S13" s="344" t="s">
        <v>410</v>
      </c>
      <c r="T13" s="344" t="s">
        <v>511</v>
      </c>
      <c r="U13" s="344" t="s">
        <v>510</v>
      </c>
      <c r="V13" s="344" t="s">
        <v>509</v>
      </c>
    </row>
    <row r="14" spans="3:27" ht="24.95" customHeight="1" thickTop="1" thickBot="1">
      <c r="C14" s="404">
        <f>'فروش - محصول A'!C14+'فروش محصول B'!C14+'فروش محصول C'!C14</f>
        <v>0</v>
      </c>
      <c r="D14" s="404">
        <f>'فروش - محصول A'!D14+'فروش محصول B'!D14+'فروش محصول C'!D14</f>
        <v>0</v>
      </c>
      <c r="E14" s="404">
        <f>'فروش - محصول A'!E14+'فروش محصول B'!E14+'فروش محصول C'!E14</f>
        <v>0</v>
      </c>
      <c r="F14" s="404">
        <f>'فروش - محصول A'!F14+'فروش محصول B'!F14+'فروش محصول C'!F14</f>
        <v>0</v>
      </c>
      <c r="G14" s="404">
        <f>'فروش - محصول A'!G14+'فروش محصول B'!G14+'فروش محصول C'!G14</f>
        <v>0</v>
      </c>
      <c r="H14" s="404">
        <f>'فروش - محصول A'!H14+'فروش محصول B'!H14+'فروش محصول C'!H14</f>
        <v>0</v>
      </c>
      <c r="I14" s="404">
        <f>'فروش - محصول A'!I14+'فروش محصول B'!I14+'فروش محصول C'!I14</f>
        <v>0</v>
      </c>
      <c r="J14" s="404">
        <f>'فروش - محصول A'!J14+'فروش محصول B'!J14+'فروش محصول C'!J14</f>
        <v>0</v>
      </c>
      <c r="K14" s="404">
        <f>'فروش - محصول A'!K14+'فروش محصول B'!K14+'فروش محصول C'!K14</f>
        <v>0</v>
      </c>
      <c r="L14" s="404">
        <f>'فروش - محصول A'!L14+'فروش محصول B'!L14+'فروش محصول C'!L14</f>
        <v>0</v>
      </c>
      <c r="M14" s="404">
        <f>'فروش - محصول A'!M14+'فروش محصول B'!M14+'فروش محصول C'!M14</f>
        <v>0</v>
      </c>
      <c r="N14" s="404">
        <f>'فروش - محصول A'!N14+'فروش محصول B'!N14+'فروش محصول C'!N14</f>
        <v>0</v>
      </c>
      <c r="O14" s="404">
        <f>'فروش - محصول A'!O14+'فروش محصول B'!O14+'فروش محصول C'!O14</f>
        <v>0</v>
      </c>
      <c r="P14" s="404">
        <f>'فروش - محصول A'!P14+'فروش محصول B'!P14+'فروش محصول C'!P14</f>
        <v>0</v>
      </c>
      <c r="Q14" s="176" t="s">
        <v>17</v>
      </c>
      <c r="R14" s="327"/>
      <c r="S14" s="344" t="s">
        <v>512</v>
      </c>
      <c r="T14" s="344" t="e">
        <f>U14/U17*100</f>
        <v>#DIV/0!</v>
      </c>
      <c r="U14" s="344">
        <f>'فروش - محصول A'!D11</f>
        <v>0</v>
      </c>
      <c r="V14" s="344">
        <f>'فروش - محصول A'!D7</f>
        <v>0</v>
      </c>
    </row>
    <row r="15" spans="3:27" ht="24.95" customHeight="1" thickBot="1">
      <c r="C15" s="404">
        <f>'فروش - محصول A'!C15+'فروش محصول B'!C15+'فروش محصول C'!C15</f>
        <v>0</v>
      </c>
      <c r="D15" s="404">
        <f>'فروش - محصول A'!D15+'فروش محصول B'!D15+'فروش محصول C'!D15</f>
        <v>0</v>
      </c>
      <c r="E15" s="404">
        <f>'فروش - محصول A'!E15+'فروش محصول B'!E15+'فروش محصول C'!E15</f>
        <v>0</v>
      </c>
      <c r="F15" s="404">
        <f>'فروش - محصول A'!F15+'فروش محصول B'!F15+'فروش محصول C'!F15</f>
        <v>0</v>
      </c>
      <c r="G15" s="404">
        <f>'فروش - محصول A'!G15+'فروش محصول B'!G15+'فروش محصول C'!G15</f>
        <v>0</v>
      </c>
      <c r="H15" s="404">
        <f>'فروش - محصول A'!H15+'فروش محصول B'!H15+'فروش محصول C'!H15</f>
        <v>0</v>
      </c>
      <c r="I15" s="404">
        <f>'فروش - محصول A'!I15+'فروش محصول B'!I15+'فروش محصول C'!I15</f>
        <v>0</v>
      </c>
      <c r="J15" s="404">
        <f>'فروش - محصول A'!J15+'فروش محصول B'!J15+'فروش محصول C'!J15</f>
        <v>0</v>
      </c>
      <c r="K15" s="404">
        <f>'فروش - محصول A'!K15+'فروش محصول B'!K15+'فروش محصول C'!K15</f>
        <v>0</v>
      </c>
      <c r="L15" s="404">
        <f>'فروش - محصول A'!L15+'فروش محصول B'!L15+'فروش محصول C'!L15</f>
        <v>0</v>
      </c>
      <c r="M15" s="404">
        <f>'فروش - محصول A'!M15+'فروش محصول B'!M15+'فروش محصول C'!M15</f>
        <v>0</v>
      </c>
      <c r="N15" s="404">
        <f>'فروش - محصول A'!N15+'فروش محصول B'!N15+'فروش محصول C'!N15</f>
        <v>0</v>
      </c>
      <c r="O15" s="404">
        <f>'فروش - محصول A'!O15+'فروش محصول B'!O15+'فروش محصول C'!O15</f>
        <v>0</v>
      </c>
      <c r="P15" s="404">
        <f>'فروش - محصول A'!P15+'فروش محصول B'!P15+'فروش محصول C'!P15</f>
        <v>0</v>
      </c>
      <c r="Q15" s="177" t="s">
        <v>18</v>
      </c>
      <c r="R15" s="327"/>
      <c r="S15" s="344" t="s">
        <v>513</v>
      </c>
      <c r="T15" s="344" t="e">
        <f>U15/U17*100</f>
        <v>#DIV/0!</v>
      </c>
      <c r="U15" s="344">
        <f>'فروش محصول B'!D11</f>
        <v>0</v>
      </c>
      <c r="V15" s="344">
        <f>'فروش محصول B'!D7</f>
        <v>0</v>
      </c>
    </row>
    <row r="16" spans="3:27" ht="24.95" customHeight="1" thickBot="1">
      <c r="C16" s="404">
        <f>'فروش - محصول A'!C16+'فروش محصول B'!C16+'فروش محصول C'!C16</f>
        <v>0</v>
      </c>
      <c r="D16" s="404">
        <f>'فروش - محصول A'!D16+'فروش محصول B'!D16+'فروش محصول C'!D16</f>
        <v>0</v>
      </c>
      <c r="E16" s="404">
        <f>'فروش - محصول A'!E16+'فروش محصول B'!E16+'فروش محصول C'!E16</f>
        <v>0</v>
      </c>
      <c r="F16" s="404">
        <f>'فروش - محصول A'!F16+'فروش محصول B'!F16+'فروش محصول C'!F16</f>
        <v>0</v>
      </c>
      <c r="G16" s="404">
        <f>'فروش - محصول A'!G16+'فروش محصول B'!G16+'فروش محصول C'!G16</f>
        <v>0</v>
      </c>
      <c r="H16" s="404">
        <f>'فروش - محصول A'!H16+'فروش محصول B'!H16+'فروش محصول C'!H16</f>
        <v>0</v>
      </c>
      <c r="I16" s="404">
        <f>'فروش - محصول A'!I16+'فروش محصول B'!I16+'فروش محصول C'!I16</f>
        <v>0</v>
      </c>
      <c r="J16" s="404">
        <f>'فروش - محصول A'!J16+'فروش محصول B'!J16+'فروش محصول C'!J16</f>
        <v>0</v>
      </c>
      <c r="K16" s="404">
        <f>'فروش - محصول A'!K16+'فروش محصول B'!K16+'فروش محصول C'!K16</f>
        <v>0</v>
      </c>
      <c r="L16" s="404">
        <f>'فروش - محصول A'!L16+'فروش محصول B'!L16+'فروش محصول C'!L16</f>
        <v>0</v>
      </c>
      <c r="M16" s="404">
        <f>'فروش - محصول A'!M16+'فروش محصول B'!M16+'فروش محصول C'!M16</f>
        <v>0</v>
      </c>
      <c r="N16" s="404">
        <f>'فروش - محصول A'!N16+'فروش محصول B'!N16+'فروش محصول C'!N16</f>
        <v>0</v>
      </c>
      <c r="O16" s="404">
        <f>'فروش - محصول A'!O16+'فروش محصول B'!O16+'فروش محصول C'!O16</f>
        <v>0</v>
      </c>
      <c r="P16" s="404">
        <f>'فروش - محصول A'!P16+'فروش محصول B'!P16+'فروش محصول C'!P16</f>
        <v>0</v>
      </c>
      <c r="Q16" s="177" t="s">
        <v>19</v>
      </c>
      <c r="R16" s="327"/>
      <c r="S16" s="344" t="s">
        <v>514</v>
      </c>
      <c r="T16" s="344" t="e">
        <f>U16/U17*100</f>
        <v>#DIV/0!</v>
      </c>
      <c r="U16" s="344">
        <f>'فروش محصول C'!D11</f>
        <v>0</v>
      </c>
      <c r="V16" s="344">
        <f>'فروش محصول C'!D7</f>
        <v>0</v>
      </c>
    </row>
    <row r="17" spans="3:22" ht="24.95" customHeight="1" thickBot="1">
      <c r="C17" s="404">
        <f>'فروش - محصول A'!C17+'فروش محصول B'!C17+'فروش محصول C'!C17</f>
        <v>0</v>
      </c>
      <c r="D17" s="404">
        <f>'فروش - محصول A'!D17+'فروش محصول B'!D17+'فروش محصول C'!D17</f>
        <v>0</v>
      </c>
      <c r="E17" s="404">
        <f>'فروش - محصول A'!E17+'فروش محصول B'!E17+'فروش محصول C'!E17</f>
        <v>0</v>
      </c>
      <c r="F17" s="404">
        <f>'فروش - محصول A'!F17+'فروش محصول B'!F17+'فروش محصول C'!F17</f>
        <v>0</v>
      </c>
      <c r="G17" s="404">
        <f>'فروش - محصول A'!G17+'فروش محصول B'!G17+'فروش محصول C'!G17</f>
        <v>0</v>
      </c>
      <c r="H17" s="404">
        <f>'فروش - محصول A'!H17+'فروش محصول B'!H17+'فروش محصول C'!H17</f>
        <v>0</v>
      </c>
      <c r="I17" s="404">
        <f>'فروش - محصول A'!I17+'فروش محصول B'!I17+'فروش محصول C'!I17</f>
        <v>0</v>
      </c>
      <c r="J17" s="404">
        <f>'فروش - محصول A'!J17+'فروش محصول B'!J17+'فروش محصول C'!J17</f>
        <v>0</v>
      </c>
      <c r="K17" s="404">
        <f>'فروش - محصول A'!K17+'فروش محصول B'!K17+'فروش محصول C'!K17</f>
        <v>0</v>
      </c>
      <c r="L17" s="404">
        <f>'فروش - محصول A'!L17+'فروش محصول B'!L17+'فروش محصول C'!L17</f>
        <v>0</v>
      </c>
      <c r="M17" s="404">
        <f>'فروش - محصول A'!M17+'فروش محصول B'!M17+'فروش محصول C'!M17</f>
        <v>0</v>
      </c>
      <c r="N17" s="404">
        <f>'فروش - محصول A'!N17+'فروش محصول B'!N17+'فروش محصول C'!N17</f>
        <v>0</v>
      </c>
      <c r="O17" s="404">
        <f>'فروش - محصول A'!O17+'فروش محصول B'!O17+'فروش محصول C'!O17</f>
        <v>0</v>
      </c>
      <c r="P17" s="404">
        <f>'فروش - محصول A'!P17+'فروش محصول B'!P17+'فروش محصول C'!P17</f>
        <v>0</v>
      </c>
      <c r="Q17" s="177" t="s">
        <v>20</v>
      </c>
      <c r="R17" s="327"/>
      <c r="S17" s="344" t="s">
        <v>12</v>
      </c>
      <c r="T17" s="344" t="e">
        <f>SUM(T14:T16)</f>
        <v>#DIV/0!</v>
      </c>
      <c r="U17" s="344">
        <f>SUM(U14:U16)</f>
        <v>0</v>
      </c>
      <c r="V17" s="344">
        <f>SUM(V14:V16)</f>
        <v>0</v>
      </c>
    </row>
    <row r="18" spans="3:22" ht="24.95" customHeight="1" thickBot="1">
      <c r="C18" s="404">
        <f>'فروش - محصول A'!C18+'فروش محصول B'!C18+'فروش محصول C'!C18</f>
        <v>0</v>
      </c>
      <c r="D18" s="404">
        <f>'فروش - محصول A'!D18+'فروش محصول B'!D18+'فروش محصول C'!D18</f>
        <v>0</v>
      </c>
      <c r="E18" s="404">
        <f>'فروش - محصول A'!E18+'فروش محصول B'!E18+'فروش محصول C'!E18</f>
        <v>0</v>
      </c>
      <c r="F18" s="404">
        <f>'فروش - محصول A'!F18+'فروش محصول B'!F18+'فروش محصول C'!F18</f>
        <v>0</v>
      </c>
      <c r="G18" s="404">
        <f>'فروش - محصول A'!G18+'فروش محصول B'!G18+'فروش محصول C'!G18</f>
        <v>0</v>
      </c>
      <c r="H18" s="404">
        <f>'فروش - محصول A'!H18+'فروش محصول B'!H18+'فروش محصول C'!H18</f>
        <v>0</v>
      </c>
      <c r="I18" s="404">
        <f>'فروش - محصول A'!I18+'فروش محصول B'!I18+'فروش محصول C'!I18</f>
        <v>0</v>
      </c>
      <c r="J18" s="404">
        <f>'فروش - محصول A'!J18+'فروش محصول B'!J18+'فروش محصول C'!J18</f>
        <v>0</v>
      </c>
      <c r="K18" s="404">
        <f>'فروش - محصول A'!K18+'فروش محصول B'!K18+'فروش محصول C'!K18</f>
        <v>0</v>
      </c>
      <c r="L18" s="404">
        <f>'فروش - محصول A'!L18+'فروش محصول B'!L18+'فروش محصول C'!L18</f>
        <v>0</v>
      </c>
      <c r="M18" s="404">
        <f>'فروش - محصول A'!M18+'فروش محصول B'!M18+'فروش محصول C'!M18</f>
        <v>0</v>
      </c>
      <c r="N18" s="404">
        <f>'فروش - محصول A'!N18+'فروش محصول B'!N18+'فروش محصول C'!N18</f>
        <v>0</v>
      </c>
      <c r="O18" s="404">
        <f>'فروش - محصول A'!O18+'فروش محصول B'!O18+'فروش محصول C'!O18</f>
        <v>0</v>
      </c>
      <c r="P18" s="404">
        <f>'فروش - محصول A'!P18+'فروش محصول B'!P18+'فروش محصول C'!P18</f>
        <v>0</v>
      </c>
      <c r="Q18" s="177" t="s">
        <v>21</v>
      </c>
      <c r="R18" s="327"/>
      <c r="S18" s="405"/>
      <c r="T18" s="405"/>
      <c r="U18" s="405"/>
      <c r="V18" s="405"/>
    </row>
    <row r="19" spans="3:22" ht="24.95" customHeight="1" thickBot="1">
      <c r="C19" s="404">
        <f>'فروش - محصول A'!C19+'فروش محصول B'!C19+'فروش محصول C'!C19</f>
        <v>0</v>
      </c>
      <c r="D19" s="404">
        <f>'فروش - محصول A'!D19+'فروش محصول B'!D19+'فروش محصول C'!D19</f>
        <v>0</v>
      </c>
      <c r="E19" s="404">
        <f>'فروش - محصول A'!E19+'فروش محصول B'!E19+'فروش محصول C'!E19</f>
        <v>0</v>
      </c>
      <c r="F19" s="404">
        <f>'فروش - محصول A'!F19+'فروش محصول B'!F19+'فروش محصول C'!F19</f>
        <v>0</v>
      </c>
      <c r="G19" s="404">
        <f>'فروش - محصول A'!G19+'فروش محصول B'!G19+'فروش محصول C'!G19</f>
        <v>0</v>
      </c>
      <c r="H19" s="404">
        <f>'فروش - محصول A'!H19+'فروش محصول B'!H19+'فروش محصول C'!H19</f>
        <v>0</v>
      </c>
      <c r="I19" s="404">
        <f>'فروش - محصول A'!I19+'فروش محصول B'!I19+'فروش محصول C'!I19</f>
        <v>0</v>
      </c>
      <c r="J19" s="404">
        <f>'فروش - محصول A'!J19+'فروش محصول B'!J19+'فروش محصول C'!J19</f>
        <v>0</v>
      </c>
      <c r="K19" s="404">
        <f>'فروش - محصول A'!K19+'فروش محصول B'!K19+'فروش محصول C'!K19</f>
        <v>0</v>
      </c>
      <c r="L19" s="404">
        <f>'فروش - محصول A'!L19+'فروش محصول B'!L19+'فروش محصول C'!L19</f>
        <v>0</v>
      </c>
      <c r="M19" s="404">
        <f>'فروش - محصول A'!M19+'فروش محصول B'!M19+'فروش محصول C'!M19</f>
        <v>0</v>
      </c>
      <c r="N19" s="404">
        <f>'فروش - محصول A'!N19+'فروش محصول B'!N19+'فروش محصول C'!N19</f>
        <v>0</v>
      </c>
      <c r="O19" s="404">
        <f>'فروش - محصول A'!O19+'فروش محصول B'!O19+'فروش محصول C'!O19</f>
        <v>0</v>
      </c>
      <c r="P19" s="404">
        <f>'فروش - محصول A'!P19+'فروش محصول B'!P19+'فروش محصول C'!P19</f>
        <v>0</v>
      </c>
      <c r="Q19" s="177" t="s">
        <v>22</v>
      </c>
      <c r="R19" s="327"/>
      <c r="S19" s="343"/>
      <c r="T19" s="343"/>
      <c r="U19" s="343"/>
      <c r="V19" s="343"/>
    </row>
    <row r="20" spans="3:22" ht="24.95" customHeight="1" thickBot="1">
      <c r="C20" s="404">
        <f>'فروش - محصول A'!C20+'فروش محصول B'!C20+'فروش محصول C'!C20</f>
        <v>0</v>
      </c>
      <c r="D20" s="404">
        <f>'فروش - محصول A'!D20+'فروش محصول B'!D20+'فروش محصول C'!D20</f>
        <v>0</v>
      </c>
      <c r="E20" s="404">
        <f>'فروش - محصول A'!E20+'فروش محصول B'!E20+'فروش محصول C'!E20</f>
        <v>0</v>
      </c>
      <c r="F20" s="404">
        <f>'فروش - محصول A'!F20+'فروش محصول B'!F20+'فروش محصول C'!F20</f>
        <v>0</v>
      </c>
      <c r="G20" s="404">
        <f>'فروش - محصول A'!G20+'فروش محصول B'!G20+'فروش محصول C'!G20</f>
        <v>0</v>
      </c>
      <c r="H20" s="404">
        <f>'فروش - محصول A'!H20+'فروش محصول B'!H20+'فروش محصول C'!H20</f>
        <v>0</v>
      </c>
      <c r="I20" s="404">
        <f>'فروش - محصول A'!I20+'فروش محصول B'!I20+'فروش محصول C'!I20</f>
        <v>0</v>
      </c>
      <c r="J20" s="404">
        <f>'فروش - محصول A'!J20+'فروش محصول B'!J20+'فروش محصول C'!J20</f>
        <v>0</v>
      </c>
      <c r="K20" s="404">
        <f>'فروش - محصول A'!K20+'فروش محصول B'!K20+'فروش محصول C'!K20</f>
        <v>0</v>
      </c>
      <c r="L20" s="404">
        <f>'فروش - محصول A'!L20+'فروش محصول B'!L20+'فروش محصول C'!L20</f>
        <v>0</v>
      </c>
      <c r="M20" s="404">
        <f>'فروش - محصول A'!M20+'فروش محصول B'!M20+'فروش محصول C'!M20</f>
        <v>0</v>
      </c>
      <c r="N20" s="404">
        <f>'فروش - محصول A'!N20+'فروش محصول B'!N20+'فروش محصول C'!N20</f>
        <v>0</v>
      </c>
      <c r="O20" s="404">
        <f>'فروش - محصول A'!O20+'فروش محصول B'!O20+'فروش محصول C'!O20</f>
        <v>0</v>
      </c>
      <c r="P20" s="404">
        <f>'فروش - محصول A'!P20+'فروش محصول B'!P20+'فروش محصول C'!P20</f>
        <v>0</v>
      </c>
      <c r="Q20" s="177" t="s">
        <v>23</v>
      </c>
      <c r="R20" s="327"/>
      <c r="S20" s="343"/>
      <c r="T20" s="343"/>
      <c r="U20" s="343"/>
      <c r="V20" s="343"/>
    </row>
    <row r="21" spans="3:22" ht="24.95" customHeight="1" thickBot="1">
      <c r="C21" s="404">
        <f>'فروش - محصول A'!C21+'فروش محصول B'!C21+'فروش محصول C'!C21</f>
        <v>0</v>
      </c>
      <c r="D21" s="404">
        <f>'فروش - محصول A'!D21+'فروش محصول B'!D21+'فروش محصول C'!D21</f>
        <v>0</v>
      </c>
      <c r="E21" s="404">
        <f>'فروش - محصول A'!E21+'فروش محصول B'!E21+'فروش محصول C'!E21</f>
        <v>0</v>
      </c>
      <c r="F21" s="404">
        <f>'فروش - محصول A'!F21+'فروش محصول B'!F21+'فروش محصول C'!F21</f>
        <v>0</v>
      </c>
      <c r="G21" s="404">
        <f>'فروش - محصول A'!G21+'فروش محصول B'!G21+'فروش محصول C'!G21</f>
        <v>0</v>
      </c>
      <c r="H21" s="404">
        <f>'فروش - محصول A'!H21+'فروش محصول B'!H21+'فروش محصول C'!H21</f>
        <v>0</v>
      </c>
      <c r="I21" s="404">
        <f>'فروش - محصول A'!I21+'فروش محصول B'!I21+'فروش محصول C'!I21</f>
        <v>0</v>
      </c>
      <c r="J21" s="404">
        <f>'فروش - محصول A'!J21+'فروش محصول B'!J21+'فروش محصول C'!J21</f>
        <v>0</v>
      </c>
      <c r="K21" s="404">
        <f>'فروش - محصول A'!K21+'فروش محصول B'!K21+'فروش محصول C'!K21</f>
        <v>0</v>
      </c>
      <c r="L21" s="404">
        <f>'فروش - محصول A'!L21+'فروش محصول B'!L21+'فروش محصول C'!L21</f>
        <v>0</v>
      </c>
      <c r="M21" s="404">
        <f>'فروش - محصول A'!M21+'فروش محصول B'!M21+'فروش محصول C'!M21</f>
        <v>0</v>
      </c>
      <c r="N21" s="404">
        <f>'فروش - محصول A'!N21+'فروش محصول B'!N21+'فروش محصول C'!N21</f>
        <v>0</v>
      </c>
      <c r="O21" s="404">
        <f>'فروش - محصول A'!O21+'فروش محصول B'!O21+'فروش محصول C'!O21</f>
        <v>0</v>
      </c>
      <c r="P21" s="404">
        <f>'فروش - محصول A'!P21+'فروش محصول B'!P21+'فروش محصول C'!P21</f>
        <v>0</v>
      </c>
      <c r="Q21" s="177" t="s">
        <v>24</v>
      </c>
      <c r="R21" s="327"/>
    </row>
    <row r="22" spans="3:22" ht="24.95" customHeight="1" thickBot="1">
      <c r="C22" s="404">
        <f>'فروش - محصول A'!C22+'فروش محصول B'!C22+'فروش محصول C'!C22</f>
        <v>0</v>
      </c>
      <c r="D22" s="404">
        <f>'فروش - محصول A'!D22+'فروش محصول B'!D22+'فروش محصول C'!D22</f>
        <v>0</v>
      </c>
      <c r="E22" s="404">
        <f>'فروش - محصول A'!E22+'فروش محصول B'!E22+'فروش محصول C'!E22</f>
        <v>0</v>
      </c>
      <c r="F22" s="404">
        <f>'فروش - محصول A'!F22+'فروش محصول B'!F22+'فروش محصول C'!F22</f>
        <v>0</v>
      </c>
      <c r="G22" s="404">
        <f>'فروش - محصول A'!G22+'فروش محصول B'!G22+'فروش محصول C'!G22</f>
        <v>0</v>
      </c>
      <c r="H22" s="404">
        <f>'فروش - محصول A'!H22+'فروش محصول B'!H22+'فروش محصول C'!H22</f>
        <v>0</v>
      </c>
      <c r="I22" s="404">
        <f>'فروش - محصول A'!I22+'فروش محصول B'!I22+'فروش محصول C'!I22</f>
        <v>0</v>
      </c>
      <c r="J22" s="404">
        <f>'فروش - محصول A'!J22+'فروش محصول B'!J22+'فروش محصول C'!J22</f>
        <v>0</v>
      </c>
      <c r="K22" s="404">
        <f>'فروش - محصول A'!K22+'فروش محصول B'!K22+'فروش محصول C'!K22</f>
        <v>0</v>
      </c>
      <c r="L22" s="404">
        <f>'فروش - محصول A'!L22+'فروش محصول B'!L22+'فروش محصول C'!L22</f>
        <v>0</v>
      </c>
      <c r="M22" s="404">
        <f>'فروش - محصول A'!M22+'فروش محصول B'!M22+'فروش محصول C'!M22</f>
        <v>0</v>
      </c>
      <c r="N22" s="404">
        <f>'فروش - محصول A'!N22+'فروش محصول B'!N22+'فروش محصول C'!N22</f>
        <v>0</v>
      </c>
      <c r="O22" s="404">
        <f>'فروش - محصول A'!O22+'فروش محصول B'!O22+'فروش محصول C'!O22</f>
        <v>0</v>
      </c>
      <c r="P22" s="404">
        <f>'فروش - محصول A'!P22+'فروش محصول B'!P22+'فروش محصول C'!P22</f>
        <v>0</v>
      </c>
      <c r="Q22" s="177" t="s">
        <v>25</v>
      </c>
      <c r="R22" s="327"/>
    </row>
    <row r="23" spans="3:22" ht="24.95" customHeight="1" thickBot="1">
      <c r="C23" s="404">
        <f>'فروش - محصول A'!C23+'فروش محصول B'!C23+'فروش محصول C'!C23</f>
        <v>0</v>
      </c>
      <c r="D23" s="404">
        <f>'فروش - محصول A'!D23+'فروش محصول B'!D23+'فروش محصول C'!D23</f>
        <v>0</v>
      </c>
      <c r="E23" s="404">
        <f>'فروش - محصول A'!E23+'فروش محصول B'!E23+'فروش محصول C'!E23</f>
        <v>0</v>
      </c>
      <c r="F23" s="404">
        <f>'فروش - محصول A'!F23+'فروش محصول B'!F23+'فروش محصول C'!F23</f>
        <v>0</v>
      </c>
      <c r="G23" s="404">
        <f>'فروش - محصول A'!G23+'فروش محصول B'!G23+'فروش محصول C'!G23</f>
        <v>0</v>
      </c>
      <c r="H23" s="404">
        <f>'فروش - محصول A'!H23+'فروش محصول B'!H23+'فروش محصول C'!H23</f>
        <v>0</v>
      </c>
      <c r="I23" s="404">
        <f>'فروش - محصول A'!I23+'فروش محصول B'!I23+'فروش محصول C'!I23</f>
        <v>0</v>
      </c>
      <c r="J23" s="404">
        <f>'فروش - محصول A'!J23+'فروش محصول B'!J23+'فروش محصول C'!J23</f>
        <v>0</v>
      </c>
      <c r="K23" s="404">
        <f>'فروش - محصول A'!K23+'فروش محصول B'!K23+'فروش محصول C'!K23</f>
        <v>0</v>
      </c>
      <c r="L23" s="404">
        <f>'فروش - محصول A'!L23+'فروش محصول B'!L23+'فروش محصول C'!L23</f>
        <v>0</v>
      </c>
      <c r="M23" s="404">
        <f>'فروش - محصول A'!M23+'فروش محصول B'!M23+'فروش محصول C'!M23</f>
        <v>0</v>
      </c>
      <c r="N23" s="404">
        <f>'فروش - محصول A'!N23+'فروش محصول B'!N23+'فروش محصول C'!N23</f>
        <v>0</v>
      </c>
      <c r="O23" s="404">
        <f>'فروش - محصول A'!O23+'فروش محصول B'!O23+'فروش محصول C'!O23</f>
        <v>0</v>
      </c>
      <c r="P23" s="404">
        <f>'فروش - محصول A'!P23+'فروش محصول B'!P23+'فروش محصول C'!P23</f>
        <v>0</v>
      </c>
      <c r="Q23" s="177" t="s">
        <v>26</v>
      </c>
      <c r="R23" s="327"/>
    </row>
    <row r="24" spans="3:22" ht="50.25" customHeight="1" thickBot="1">
      <c r="C24" s="404">
        <f>'فروش - محصول A'!C24+'فروش محصول B'!C24+'فروش محصول C'!C24</f>
        <v>0</v>
      </c>
      <c r="D24" s="404">
        <f>'فروش - محصول A'!D24+'فروش محصول B'!D24+'فروش محصول C'!D24</f>
        <v>0</v>
      </c>
      <c r="E24" s="404">
        <f>'فروش - محصول A'!E24+'فروش محصول B'!E24+'فروش محصول C'!E24</f>
        <v>0</v>
      </c>
      <c r="F24" s="404">
        <f>'فروش - محصول A'!F24+'فروش محصول B'!F24+'فروش محصول C'!F24</f>
        <v>0</v>
      </c>
      <c r="G24" s="404">
        <f>'فروش - محصول A'!G24+'فروش محصول B'!G24+'فروش محصول C'!G24</f>
        <v>0</v>
      </c>
      <c r="H24" s="404">
        <f>'فروش - محصول A'!H24+'فروش محصول B'!H24+'فروش محصول C'!H24</f>
        <v>0</v>
      </c>
      <c r="I24" s="404">
        <f>'فروش - محصول A'!I24+'فروش محصول B'!I24+'فروش محصول C'!I24</f>
        <v>0</v>
      </c>
      <c r="J24" s="404">
        <f>'فروش - محصول A'!J24+'فروش محصول B'!J24+'فروش محصول C'!J24</f>
        <v>0</v>
      </c>
      <c r="K24" s="404">
        <f>'فروش - محصول A'!K24+'فروش محصول B'!K24+'فروش محصول C'!K24</f>
        <v>0</v>
      </c>
      <c r="L24" s="404">
        <f>'فروش - محصول A'!L24+'فروش محصول B'!L24+'فروش محصول C'!L24</f>
        <v>0</v>
      </c>
      <c r="M24" s="404">
        <f>'فروش - محصول A'!M24+'فروش محصول B'!M24+'فروش محصول C'!M24</f>
        <v>0</v>
      </c>
      <c r="N24" s="404">
        <f>'فروش - محصول A'!N24+'فروش محصول B'!N24+'فروش محصول C'!N24</f>
        <v>0</v>
      </c>
      <c r="O24" s="404">
        <f>'فروش - محصول A'!O24+'فروش محصول B'!O24+'فروش محصول C'!O24</f>
        <v>0</v>
      </c>
      <c r="P24" s="404">
        <f>'فروش - محصول A'!P24+'فروش محصول B'!P24+'فروش محصول C'!P24</f>
        <v>0</v>
      </c>
      <c r="Q24" s="177" t="s">
        <v>27</v>
      </c>
      <c r="R24" s="327"/>
    </row>
    <row r="25" spans="3:22" ht="30" customHeight="1" thickBot="1">
      <c r="C25" s="404">
        <f>'فروش - محصول A'!C25+'فروش محصول B'!C25+'فروش محصول C'!C25</f>
        <v>0</v>
      </c>
      <c r="D25" s="404">
        <f>'فروش - محصول A'!D25+'فروش محصول B'!D25+'فروش محصول C'!D25</f>
        <v>0</v>
      </c>
      <c r="E25" s="404">
        <f>'فروش - محصول A'!E25+'فروش محصول B'!E25+'فروش محصول C'!E25</f>
        <v>0</v>
      </c>
      <c r="F25" s="404">
        <f>'فروش - محصول A'!F25+'فروش محصول B'!F25+'فروش محصول C'!F25</f>
        <v>0</v>
      </c>
      <c r="G25" s="404">
        <f>'فروش - محصول A'!G25+'فروش محصول B'!G25+'فروش محصول C'!G25</f>
        <v>0</v>
      </c>
      <c r="H25" s="404">
        <f>'فروش - محصول A'!H25+'فروش محصول B'!H25+'فروش محصول C'!H25</f>
        <v>0</v>
      </c>
      <c r="I25" s="404">
        <f>'فروش - محصول A'!I25+'فروش محصول B'!I25+'فروش محصول C'!I25</f>
        <v>0</v>
      </c>
      <c r="J25" s="404">
        <f>'فروش - محصول A'!J25+'فروش محصول B'!J25+'فروش محصول C'!J25</f>
        <v>0</v>
      </c>
      <c r="K25" s="404">
        <f>'فروش - محصول A'!K25+'فروش محصول B'!K25+'فروش محصول C'!K25</f>
        <v>0</v>
      </c>
      <c r="L25" s="404">
        <f>'فروش - محصول A'!L25+'فروش محصول B'!L25+'فروش محصول C'!L25</f>
        <v>0</v>
      </c>
      <c r="M25" s="404">
        <f>'فروش - محصول A'!M25+'فروش محصول B'!M25+'فروش محصول C'!M25</f>
        <v>0</v>
      </c>
      <c r="N25" s="404">
        <f>'فروش - محصول A'!N25+'فروش محصول B'!N25+'فروش محصول C'!N25</f>
        <v>0</v>
      </c>
      <c r="O25" s="404">
        <f>'فروش - محصول A'!O25+'فروش محصول B'!O25+'فروش محصول C'!O25</f>
        <v>0</v>
      </c>
      <c r="P25" s="404">
        <f>'فروش - محصول A'!P25+'فروش محصول B'!P25+'فروش محصول C'!P25</f>
        <v>0</v>
      </c>
      <c r="Q25" s="177" t="s">
        <v>28</v>
      </c>
      <c r="R25" s="327"/>
    </row>
    <row r="26" spans="3:22" ht="24" thickBot="1">
      <c r="C26" s="181">
        <f t="shared" ref="C26:O26" si="1">SUM(C14:C25)</f>
        <v>0</v>
      </c>
      <c r="D26" s="181">
        <f t="shared" si="1"/>
        <v>0</v>
      </c>
      <c r="E26" s="181">
        <f t="shared" si="1"/>
        <v>0</v>
      </c>
      <c r="F26" s="181">
        <f t="shared" si="1"/>
        <v>0</v>
      </c>
      <c r="G26" s="181">
        <f t="shared" si="1"/>
        <v>0</v>
      </c>
      <c r="H26" s="181">
        <f t="shared" si="1"/>
        <v>0</v>
      </c>
      <c r="I26" s="181">
        <f t="shared" si="1"/>
        <v>0</v>
      </c>
      <c r="J26" s="181">
        <f t="shared" si="1"/>
        <v>0</v>
      </c>
      <c r="K26" s="181">
        <f t="shared" si="1"/>
        <v>0</v>
      </c>
      <c r="L26" s="181">
        <f t="shared" si="1"/>
        <v>0</v>
      </c>
      <c r="M26" s="181">
        <f t="shared" si="1"/>
        <v>0</v>
      </c>
      <c r="N26" s="181">
        <f t="shared" si="1"/>
        <v>0</v>
      </c>
      <c r="O26" s="181">
        <f t="shared" si="1"/>
        <v>0</v>
      </c>
      <c r="P26" s="181">
        <f>SUM(P14:P25)</f>
        <v>0</v>
      </c>
      <c r="Q26" s="182" t="s">
        <v>29</v>
      </c>
      <c r="R26" s="155"/>
    </row>
    <row r="27" spans="3:22" ht="24" thickBot="1">
      <c r="C27" s="183" t="s">
        <v>348</v>
      </c>
      <c r="D27" s="415" t="s">
        <v>349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7"/>
      <c r="R27" s="155"/>
    </row>
  </sheetData>
  <mergeCells count="2">
    <mergeCell ref="D2:Q3"/>
    <mergeCell ref="D27:Q2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8"/>
  <sheetViews>
    <sheetView topLeftCell="F1" zoomScale="70" zoomScaleNormal="70" workbookViewId="0">
      <selection activeCell="I19" sqref="I19"/>
    </sheetView>
  </sheetViews>
  <sheetFormatPr defaultColWidth="9.125" defaultRowHeight="23.25"/>
  <cols>
    <col min="1" max="2" width="9.125" style="238"/>
    <col min="3" max="3" width="21.25" style="238" bestFit="1" customWidth="1"/>
    <col min="4" max="4" width="20.375" style="238" customWidth="1"/>
    <col min="5" max="5" width="18.125" style="238" customWidth="1"/>
    <col min="6" max="6" width="20.625" style="238" bestFit="1" customWidth="1"/>
    <col min="7" max="8" width="18.125" style="238" customWidth="1"/>
    <col min="9" max="9" width="24.375" style="238" bestFit="1" customWidth="1"/>
    <col min="10" max="10" width="22.625" style="238" customWidth="1"/>
    <col min="11" max="11" width="25.75" style="238" bestFit="1" customWidth="1"/>
    <col min="12" max="12" width="23.625" style="238" customWidth="1"/>
    <col min="13" max="13" width="14.25" style="238" bestFit="1" customWidth="1"/>
    <col min="14" max="14" width="14.75" style="238" bestFit="1" customWidth="1"/>
    <col min="15" max="15" width="31.375" style="238" customWidth="1"/>
    <col min="16" max="17" width="20.75" style="238" bestFit="1" customWidth="1"/>
    <col min="18" max="18" width="28.875" style="238" bestFit="1" customWidth="1"/>
    <col min="19" max="19" width="15.375" style="238" customWidth="1"/>
    <col min="20" max="20" width="27.125" style="238" customWidth="1"/>
    <col min="21" max="21" width="9.125" style="238"/>
    <col min="22" max="22" width="10.375" style="238" bestFit="1" customWidth="1"/>
    <col min="23" max="23" width="14.75" style="238" bestFit="1" customWidth="1"/>
    <col min="24" max="16384" width="9.125" style="238"/>
  </cols>
  <sheetData>
    <row r="1" spans="3:23">
      <c r="T1" s="428" t="s">
        <v>40</v>
      </c>
      <c r="U1" s="428"/>
      <c r="V1" s="428"/>
      <c r="W1" s="428"/>
    </row>
    <row r="2" spans="3:23" ht="24" thickBot="1"/>
    <row r="3" spans="3:23" ht="40.5" customHeight="1" thickBot="1">
      <c r="C3" s="425" t="s">
        <v>31</v>
      </c>
      <c r="D3" s="426"/>
      <c r="E3" s="427"/>
      <c r="F3" s="437" t="s">
        <v>350</v>
      </c>
      <c r="G3" s="438"/>
      <c r="H3" s="439"/>
      <c r="I3" s="434" t="s">
        <v>36</v>
      </c>
      <c r="J3" s="435"/>
      <c r="K3" s="436"/>
      <c r="L3" s="430" t="s">
        <v>35</v>
      </c>
      <c r="M3" s="430"/>
      <c r="N3" s="430"/>
      <c r="O3" s="431" t="s">
        <v>262</v>
      </c>
      <c r="P3" s="432"/>
      <c r="Q3" s="432"/>
      <c r="R3" s="432"/>
      <c r="S3" s="433"/>
      <c r="T3" s="429" t="s">
        <v>34</v>
      </c>
      <c r="U3" s="429"/>
      <c r="V3" s="429"/>
      <c r="W3" s="430" t="s">
        <v>33</v>
      </c>
    </row>
    <row r="4" spans="3:23" ht="32.25" customHeight="1" thickBot="1">
      <c r="C4" s="239" t="s">
        <v>15</v>
      </c>
      <c r="D4" s="239" t="s">
        <v>14</v>
      </c>
      <c r="E4" s="239" t="s">
        <v>13</v>
      </c>
      <c r="F4" s="240" t="str">
        <f>I4</f>
        <v>مبلغ</v>
      </c>
      <c r="G4" s="240" t="str">
        <f>J4</f>
        <v>فی</v>
      </c>
      <c r="H4" s="240" t="str">
        <f>K4</f>
        <v>تعداد</v>
      </c>
      <c r="I4" s="241" t="s">
        <v>15</v>
      </c>
      <c r="J4" s="241" t="s">
        <v>14</v>
      </c>
      <c r="K4" s="241" t="s">
        <v>13</v>
      </c>
      <c r="L4" s="242" t="s">
        <v>15</v>
      </c>
      <c r="M4" s="242" t="s">
        <v>14</v>
      </c>
      <c r="N4" s="242" t="s">
        <v>13</v>
      </c>
      <c r="O4" s="243" t="s">
        <v>265</v>
      </c>
      <c r="P4" s="244" t="s">
        <v>374</v>
      </c>
      <c r="Q4" s="244" t="s">
        <v>373</v>
      </c>
      <c r="R4" s="244" t="s">
        <v>372</v>
      </c>
      <c r="S4" s="244" t="s">
        <v>13</v>
      </c>
      <c r="T4" s="245" t="s">
        <v>15</v>
      </c>
      <c r="U4" s="245" t="s">
        <v>32</v>
      </c>
      <c r="V4" s="245" t="s">
        <v>13</v>
      </c>
      <c r="W4" s="430"/>
    </row>
    <row r="5" spans="3:23" ht="33" customHeight="1" thickBot="1">
      <c r="C5" s="239" t="e">
        <f>E5*D5</f>
        <v>#DIV/0!</v>
      </c>
      <c r="D5" s="239" t="e">
        <f>M5</f>
        <v>#DIV/0!</v>
      </c>
      <c r="E5" s="239">
        <f>N5-K5-H5</f>
        <v>0</v>
      </c>
      <c r="F5" s="240"/>
      <c r="G5" s="240"/>
      <c r="H5" s="240"/>
      <c r="I5" s="241" t="e">
        <f>J5*K5</f>
        <v>#DIV/0!</v>
      </c>
      <c r="J5" s="241" t="e">
        <f>M5</f>
        <v>#DIV/0!</v>
      </c>
      <c r="K5" s="241">
        <f>'فروش - محصول A'!D7</f>
        <v>0</v>
      </c>
      <c r="L5" s="242">
        <f>O5+T5</f>
        <v>117500000</v>
      </c>
      <c r="M5" s="242" t="e">
        <f>L5/N5</f>
        <v>#DIV/0!</v>
      </c>
      <c r="N5" s="242">
        <f>S5+V5</f>
        <v>0</v>
      </c>
      <c r="O5" s="243">
        <f>P5+Q5+R5</f>
        <v>-482500000</v>
      </c>
      <c r="P5" s="246">
        <f>P8/O14*O11</f>
        <v>0</v>
      </c>
      <c r="Q5" s="246">
        <f>Q8/O14*O11</f>
        <v>0</v>
      </c>
      <c r="R5" s="246">
        <f>'گردش توليد و مواد ( A)'!D51</f>
        <v>-482500000</v>
      </c>
      <c r="S5" s="246">
        <f>'گردش توليد و مواد ( A)'!D9</f>
        <v>-100</v>
      </c>
      <c r="T5" s="245">
        <f>sheet2!S19</f>
        <v>600000000</v>
      </c>
      <c r="U5" s="245"/>
      <c r="V5" s="245">
        <f>sheet2!U19</f>
        <v>100</v>
      </c>
      <c r="W5" s="242" t="s">
        <v>16</v>
      </c>
    </row>
    <row r="6" spans="3:23" ht="33" customHeight="1" thickBot="1">
      <c r="C6" s="239" t="e">
        <f t="shared" ref="C6:C7" si="0">E6*D6</f>
        <v>#DIV/0!</v>
      </c>
      <c r="D6" s="239" t="e">
        <f t="shared" ref="D6:D7" si="1">M6</f>
        <v>#DIV/0!</v>
      </c>
      <c r="E6" s="239">
        <f t="shared" ref="E6:E8" si="2">N6-K6-H6</f>
        <v>0</v>
      </c>
      <c r="F6" s="247"/>
      <c r="G6" s="247"/>
      <c r="H6" s="247"/>
      <c r="I6" s="241" t="e">
        <f t="shared" ref="I6:I7" si="3">J6*K6</f>
        <v>#DIV/0!</v>
      </c>
      <c r="J6" s="241" t="e">
        <f t="shared" ref="J6:J7" si="4">M6</f>
        <v>#DIV/0!</v>
      </c>
      <c r="K6" s="248">
        <f>'فروش محصول B'!D7</f>
        <v>0</v>
      </c>
      <c r="L6" s="242">
        <f t="shared" ref="L6:L7" si="5">O6+T6</f>
        <v>-70000000</v>
      </c>
      <c r="M6" s="242" t="e">
        <f t="shared" ref="M6:M7" si="6">L6/N6</f>
        <v>#DIV/0!</v>
      </c>
      <c r="N6" s="242">
        <f t="shared" ref="N6:N8" si="7">S6+V6</f>
        <v>0</v>
      </c>
      <c r="O6" s="243">
        <f t="shared" ref="O6:O7" si="8">P6+Q6+R6</f>
        <v>-200000000</v>
      </c>
      <c r="P6" s="249">
        <f>P8/O14*O12</f>
        <v>0</v>
      </c>
      <c r="Q6" s="249">
        <f>Q8/O14*O12</f>
        <v>0</v>
      </c>
      <c r="R6" s="249">
        <f>'گردش توليد و مواد B'!D51</f>
        <v>-200000000</v>
      </c>
      <c r="S6" s="249">
        <f>'گردش توليد و مواد B'!D9</f>
        <v>-100</v>
      </c>
      <c r="T6" s="245">
        <f>sheet2!S20</f>
        <v>130000000</v>
      </c>
      <c r="U6" s="250"/>
      <c r="V6" s="245">
        <f>sheet2!U20</f>
        <v>100</v>
      </c>
      <c r="W6" s="251" t="s">
        <v>320</v>
      </c>
    </row>
    <row r="7" spans="3:23" ht="33" customHeight="1" thickBot="1">
      <c r="C7" s="239" t="e">
        <f t="shared" si="0"/>
        <v>#DIV/0!</v>
      </c>
      <c r="D7" s="239" t="e">
        <f t="shared" si="1"/>
        <v>#DIV/0!</v>
      </c>
      <c r="E7" s="239">
        <f t="shared" si="2"/>
        <v>0</v>
      </c>
      <c r="F7" s="247"/>
      <c r="G7" s="247"/>
      <c r="H7" s="247"/>
      <c r="I7" s="241" t="e">
        <f t="shared" si="3"/>
        <v>#DIV/0!</v>
      </c>
      <c r="J7" s="241" t="e">
        <f t="shared" si="4"/>
        <v>#DIV/0!</v>
      </c>
      <c r="K7" s="248">
        <f>'فروش محصول C'!D7</f>
        <v>0</v>
      </c>
      <c r="L7" s="242">
        <f t="shared" si="5"/>
        <v>94000000</v>
      </c>
      <c r="M7" s="242" t="e">
        <f t="shared" si="6"/>
        <v>#DIV/0!</v>
      </c>
      <c r="N7" s="242">
        <f t="shared" si="7"/>
        <v>0</v>
      </c>
      <c r="O7" s="243">
        <f t="shared" si="8"/>
        <v>-86000000</v>
      </c>
      <c r="P7" s="249">
        <f>P8/O14*O13</f>
        <v>0</v>
      </c>
      <c r="Q7" s="249">
        <f>Q8/O14*O13</f>
        <v>0</v>
      </c>
      <c r="R7" s="249">
        <f>'گردش توليد و مواد C'!D51</f>
        <v>-86000000</v>
      </c>
      <c r="S7" s="249">
        <f>'گردش توليد و مواد C'!D9</f>
        <v>-20</v>
      </c>
      <c r="T7" s="312">
        <f>sheet2!S21</f>
        <v>180000000</v>
      </c>
      <c r="U7" s="250"/>
      <c r="V7" s="312">
        <f>sheet2!U21</f>
        <v>20</v>
      </c>
      <c r="W7" s="251" t="s">
        <v>30</v>
      </c>
    </row>
    <row r="8" spans="3:23" ht="33" customHeight="1" thickBot="1">
      <c r="C8" s="252" t="e">
        <f>SUM(C5:C7)</f>
        <v>#DIV/0!</v>
      </c>
      <c r="D8" s="252" t="e">
        <f>SUM(D5:D7)</f>
        <v>#DIV/0!</v>
      </c>
      <c r="E8" s="239">
        <f t="shared" si="2"/>
        <v>0</v>
      </c>
      <c r="F8" s="253"/>
      <c r="G8" s="253"/>
      <c r="H8" s="253"/>
      <c r="I8" s="254" t="e">
        <f>SUM(I5:I7)</f>
        <v>#DIV/0!</v>
      </c>
      <c r="J8" s="254"/>
      <c r="K8" s="254">
        <f>SUM(K5:K7)</f>
        <v>0</v>
      </c>
      <c r="L8" s="242">
        <f>SUM(L5:L7)</f>
        <v>141500000</v>
      </c>
      <c r="M8" s="255"/>
      <c r="N8" s="242">
        <f t="shared" si="7"/>
        <v>0</v>
      </c>
      <c r="O8" s="243">
        <f>SUM(O5:O7)</f>
        <v>-768500000</v>
      </c>
      <c r="P8" s="256">
        <f>'هزینه سربار تولیدی '!C30</f>
        <v>0</v>
      </c>
      <c r="Q8" s="256">
        <f>'دستمزد مستقیم'!C15</f>
        <v>0</v>
      </c>
      <c r="R8" s="256">
        <f>SUM(R5:R7)</f>
        <v>-768500000</v>
      </c>
      <c r="S8" s="256">
        <f>SUM(S5:S7)</f>
        <v>-220</v>
      </c>
      <c r="T8" s="245">
        <f>SUM(T5:T7)</f>
        <v>910000000</v>
      </c>
      <c r="U8" s="257"/>
      <c r="V8" s="257">
        <f>SUM(V5:V7)</f>
        <v>220</v>
      </c>
      <c r="W8" s="255" t="s">
        <v>12</v>
      </c>
    </row>
    <row r="9" spans="3:23" ht="24" thickTop="1">
      <c r="C9" s="238" t="s">
        <v>39</v>
      </c>
      <c r="F9" s="238" t="s">
        <v>351</v>
      </c>
      <c r="I9" s="238" t="s">
        <v>37</v>
      </c>
      <c r="T9" s="238" t="s">
        <v>38</v>
      </c>
    </row>
    <row r="10" spans="3:23" ht="24" thickBot="1">
      <c r="Q10" s="321" t="s">
        <v>453</v>
      </c>
    </row>
    <row r="11" spans="3:23" ht="24" thickBot="1">
      <c r="O11" s="322">
        <f>P11*Q11</f>
        <v>-12000</v>
      </c>
      <c r="P11" s="322">
        <f>S5</f>
        <v>-100</v>
      </c>
      <c r="Q11" s="322">
        <v>120</v>
      </c>
      <c r="R11" s="322" t="s">
        <v>450</v>
      </c>
    </row>
    <row r="12" spans="3:23" ht="24" thickBot="1">
      <c r="J12" s="424" t="s">
        <v>413</v>
      </c>
      <c r="K12" s="424"/>
      <c r="L12" s="424"/>
      <c r="M12" s="424"/>
      <c r="N12" s="424"/>
      <c r="O12" s="322">
        <f t="shared" ref="O12:O13" si="9">P12*Q12</f>
        <v>-2500</v>
      </c>
      <c r="P12" s="322">
        <f t="shared" ref="P12:P13" si="10">S6</f>
        <v>-100</v>
      </c>
      <c r="Q12" s="322">
        <v>25</v>
      </c>
      <c r="R12" s="322" t="s">
        <v>451</v>
      </c>
    </row>
    <row r="13" spans="3:23" ht="24" thickBot="1">
      <c r="J13" s="424"/>
      <c r="K13" s="424"/>
      <c r="L13" s="424"/>
      <c r="M13" s="424"/>
      <c r="N13" s="424"/>
      <c r="O13" s="322">
        <f t="shared" si="9"/>
        <v>-1900</v>
      </c>
      <c r="P13" s="322">
        <f t="shared" si="10"/>
        <v>-20</v>
      </c>
      <c r="Q13" s="322">
        <v>95</v>
      </c>
      <c r="R13" s="322" t="s">
        <v>452</v>
      </c>
    </row>
    <row r="14" spans="3:23" ht="24" thickBot="1">
      <c r="O14" s="322">
        <f>SUM(O11:O13)</f>
        <v>-16400</v>
      </c>
      <c r="P14" s="322">
        <f>SUM(P11:P13)</f>
        <v>-220</v>
      </c>
      <c r="Q14" s="322">
        <f>SUM(Q11:Q13)</f>
        <v>240</v>
      </c>
      <c r="R14" s="322"/>
    </row>
    <row r="15" spans="3:23" ht="24" thickBot="1">
      <c r="J15" s="311" t="s">
        <v>412</v>
      </c>
      <c r="K15" s="311" t="s">
        <v>411</v>
      </c>
      <c r="L15" s="311" t="s">
        <v>409</v>
      </c>
      <c r="M15" s="311" t="str">
        <f>N4</f>
        <v>تعداد</v>
      </c>
      <c r="N15" s="311" t="s">
        <v>410</v>
      </c>
    </row>
    <row r="16" spans="3:23" ht="24" thickBot="1">
      <c r="J16" s="302" t="e">
        <f>K16-L16</f>
        <v>#DIV/0!</v>
      </c>
      <c r="K16" s="302" t="e">
        <f>'فروش - محصول A'!D8</f>
        <v>#DIV/0!</v>
      </c>
      <c r="L16" s="302" t="e">
        <f t="shared" ref="L16:M18" si="11">J5</f>
        <v>#DIV/0!</v>
      </c>
      <c r="M16" s="302">
        <f t="shared" si="11"/>
        <v>0</v>
      </c>
      <c r="N16" s="302" t="str">
        <f>W5</f>
        <v>محصول A</v>
      </c>
    </row>
    <row r="17" spans="10:14" ht="24" thickBot="1">
      <c r="J17" s="302" t="e">
        <f t="shared" ref="J17:J18" si="12">K17-L17</f>
        <v>#DIV/0!</v>
      </c>
      <c r="K17" s="302" t="e">
        <f>'فروش محصول B'!D8</f>
        <v>#DIV/0!</v>
      </c>
      <c r="L17" s="302" t="e">
        <f t="shared" si="11"/>
        <v>#DIV/0!</v>
      </c>
      <c r="M17" s="302">
        <f t="shared" si="11"/>
        <v>0</v>
      </c>
      <c r="N17" s="302" t="str">
        <f>W6</f>
        <v>محصول  B</v>
      </c>
    </row>
    <row r="18" spans="10:14" ht="24" thickBot="1">
      <c r="J18" s="302" t="e">
        <f t="shared" si="12"/>
        <v>#DIV/0!</v>
      </c>
      <c r="K18" s="302" t="e">
        <f>'فروش محصول C'!D8</f>
        <v>#DIV/0!</v>
      </c>
      <c r="L18" s="302" t="e">
        <f t="shared" si="11"/>
        <v>#DIV/0!</v>
      </c>
      <c r="M18" s="302">
        <f t="shared" si="11"/>
        <v>0</v>
      </c>
      <c r="N18" s="302" t="str">
        <f>W7</f>
        <v>محصول C</v>
      </c>
    </row>
  </sheetData>
  <mergeCells count="9">
    <mergeCell ref="J12:N13"/>
    <mergeCell ref="C3:E3"/>
    <mergeCell ref="T1:W1"/>
    <mergeCell ref="T3:V3"/>
    <mergeCell ref="W3:W4"/>
    <mergeCell ref="O3:S3"/>
    <mergeCell ref="L3:N3"/>
    <mergeCell ref="I3:K3"/>
    <mergeCell ref="F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2"/>
  <sheetViews>
    <sheetView topLeftCell="M16" zoomScale="90" zoomScaleNormal="90" workbookViewId="0">
      <selection activeCell="O34" sqref="O34"/>
    </sheetView>
  </sheetViews>
  <sheetFormatPr defaultColWidth="15.875" defaultRowHeight="20.25"/>
  <cols>
    <col min="1" max="2" width="15.875" style="25"/>
    <col min="3" max="3" width="29.875" style="25" bestFit="1" customWidth="1"/>
    <col min="4" max="15" width="26.125" style="25" bestFit="1" customWidth="1"/>
    <col min="16" max="16" width="42.375" style="25" bestFit="1" customWidth="1"/>
    <col min="17" max="16384" width="15.875" style="25"/>
  </cols>
  <sheetData>
    <row r="1" spans="3:16" ht="21" thickBot="1"/>
    <row r="2" spans="3:16" ht="31.5" thickTop="1" thickBot="1">
      <c r="J2" s="88"/>
      <c r="K2" s="88" t="s">
        <v>352</v>
      </c>
      <c r="L2" s="88"/>
      <c r="M2" s="88" t="s">
        <v>353</v>
      </c>
      <c r="N2" s="88"/>
      <c r="O2" s="88" t="s">
        <v>13</v>
      </c>
      <c r="P2" s="25" t="s">
        <v>55</v>
      </c>
    </row>
    <row r="3" spans="3:16" ht="21.75" thickTop="1" thickBot="1"/>
    <row r="4" spans="3:16" ht="32.25" customHeight="1" thickBot="1">
      <c r="C4" s="303" t="s">
        <v>44</v>
      </c>
      <c r="D4" s="303" t="s">
        <v>43</v>
      </c>
      <c r="E4" s="303" t="s">
        <v>10</v>
      </c>
      <c r="F4" s="303" t="s">
        <v>9</v>
      </c>
      <c r="G4" s="303" t="s">
        <v>8</v>
      </c>
      <c r="H4" s="303" t="s">
        <v>42</v>
      </c>
      <c r="I4" s="303" t="s">
        <v>6</v>
      </c>
      <c r="J4" s="303" t="s">
        <v>5</v>
      </c>
      <c r="K4" s="303" t="s">
        <v>4</v>
      </c>
      <c r="L4" s="303" t="s">
        <v>3</v>
      </c>
      <c r="M4" s="303" t="s">
        <v>2</v>
      </c>
      <c r="N4" s="303" t="s">
        <v>1</v>
      </c>
      <c r="O4" s="303" t="s">
        <v>41</v>
      </c>
      <c r="P4" s="303" t="s">
        <v>269</v>
      </c>
    </row>
    <row r="5" spans="3:16" ht="34.5" customHeight="1" thickBo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30" t="s">
        <v>270</v>
      </c>
    </row>
    <row r="6" spans="3:16" ht="30.75" thickBo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0" t="s">
        <v>45</v>
      </c>
    </row>
    <row r="7" spans="3:16" ht="34.5" thickBot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30" t="s">
        <v>46</v>
      </c>
    </row>
    <row r="8" spans="3:16" ht="34.5" thickBot="1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0" t="s">
        <v>47</v>
      </c>
    </row>
    <row r="9" spans="3:16" ht="34.5" thickBot="1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0" t="s">
        <v>48</v>
      </c>
    </row>
    <row r="10" spans="3:16" ht="34.5" thickBo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30" t="s">
        <v>49</v>
      </c>
    </row>
    <row r="11" spans="3:16" ht="34.5" thickBo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0" t="s">
        <v>50</v>
      </c>
    </row>
    <row r="12" spans="3:16" ht="34.5" thickBo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0" t="s">
        <v>51</v>
      </c>
    </row>
    <row r="13" spans="3:16" ht="34.5" thickBot="1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30" t="s">
        <v>52</v>
      </c>
    </row>
    <row r="14" spans="3:16" ht="34.5" thickBot="1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30" t="s">
        <v>53</v>
      </c>
    </row>
    <row r="15" spans="3:16" ht="38.25" customHeight="1" thickBot="1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6" t="s">
        <v>66</v>
      </c>
    </row>
    <row r="16" spans="3:16" ht="35.25" customHeight="1" thickBot="1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29" t="s">
        <v>65</v>
      </c>
    </row>
    <row r="17" spans="3:16" s="67" customFormat="1" ht="35.25" customHeight="1" thickBot="1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</row>
    <row r="18" spans="3:16" ht="37.5" customHeight="1" thickBot="1">
      <c r="C18" s="303" t="s">
        <v>44</v>
      </c>
      <c r="D18" s="303" t="s">
        <v>43</v>
      </c>
      <c r="E18" s="303" t="s">
        <v>10</v>
      </c>
      <c r="F18" s="303" t="s">
        <v>9</v>
      </c>
      <c r="G18" s="303" t="s">
        <v>8</v>
      </c>
      <c r="H18" s="303" t="s">
        <v>42</v>
      </c>
      <c r="I18" s="303" t="s">
        <v>6</v>
      </c>
      <c r="J18" s="303" t="s">
        <v>5</v>
      </c>
      <c r="K18" s="303" t="s">
        <v>4</v>
      </c>
      <c r="L18" s="303" t="s">
        <v>3</v>
      </c>
      <c r="M18" s="303" t="s">
        <v>2</v>
      </c>
      <c r="N18" s="303" t="s">
        <v>1</v>
      </c>
      <c r="O18" s="303" t="s">
        <v>41</v>
      </c>
      <c r="P18" s="303" t="s">
        <v>268</v>
      </c>
    </row>
    <row r="19" spans="3:16" ht="21" thickBot="1">
      <c r="C19" s="28">
        <f>SUM(D19:O19)</f>
        <v>0</v>
      </c>
      <c r="D19" s="28">
        <f>'جدول دارایی های ثابت مشهود '!AB20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 t="s">
        <v>57</v>
      </c>
    </row>
    <row r="20" spans="3:16" ht="21" thickBot="1">
      <c r="C20" s="93">
        <f t="shared" ref="C20:C26" si="0">SUM(D20:O20)</f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 t="s">
        <v>58</v>
      </c>
    </row>
    <row r="21" spans="3:16" ht="21" thickBot="1">
      <c r="C21" s="93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 t="s">
        <v>59</v>
      </c>
    </row>
    <row r="22" spans="3:16" ht="21" thickBot="1">
      <c r="C22" s="93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 t="s">
        <v>60</v>
      </c>
    </row>
    <row r="23" spans="3:16" ht="21" thickBot="1">
      <c r="C23" s="93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0" t="s">
        <v>61</v>
      </c>
    </row>
    <row r="24" spans="3:16" ht="21" thickBot="1">
      <c r="C24" s="93">
        <f t="shared" si="0"/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 t="s">
        <v>63</v>
      </c>
    </row>
    <row r="25" spans="3:16" ht="21" thickBot="1">
      <c r="C25" s="93">
        <f t="shared" si="0"/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 t="s">
        <v>64</v>
      </c>
    </row>
    <row r="26" spans="3:16" ht="21" thickBot="1">
      <c r="C26" s="93">
        <f t="shared" si="0"/>
        <v>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0" t="s">
        <v>62</v>
      </c>
    </row>
    <row r="27" spans="3:16" ht="39.75" customHeight="1" thickBot="1">
      <c r="C27" s="26">
        <f t="shared" ref="C27:N27" si="1">SUM(C19:C26)</f>
        <v>0</v>
      </c>
      <c r="D27" s="26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>SUM(O19:O26)</f>
        <v>0</v>
      </c>
      <c r="P27" s="26" t="s">
        <v>67</v>
      </c>
    </row>
    <row r="28" spans="3:16" ht="36.75" customHeight="1" thickBot="1">
      <c r="C28" s="29">
        <f t="shared" ref="C28:N28" si="2">C27-C19</f>
        <v>0</v>
      </c>
      <c r="D28" s="29">
        <f t="shared" si="2"/>
        <v>0</v>
      </c>
      <c r="E28" s="29">
        <f t="shared" si="2"/>
        <v>0</v>
      </c>
      <c r="F28" s="29">
        <f t="shared" si="2"/>
        <v>0</v>
      </c>
      <c r="G28" s="29">
        <f t="shared" si="2"/>
        <v>0</v>
      </c>
      <c r="H28" s="29">
        <f t="shared" si="2"/>
        <v>0</v>
      </c>
      <c r="I28" s="29">
        <f t="shared" si="2"/>
        <v>0</v>
      </c>
      <c r="J28" s="29">
        <f t="shared" si="2"/>
        <v>0</v>
      </c>
      <c r="K28" s="29">
        <f t="shared" si="2"/>
        <v>0</v>
      </c>
      <c r="L28" s="29">
        <f t="shared" si="2"/>
        <v>0</v>
      </c>
      <c r="M28" s="29">
        <f t="shared" si="2"/>
        <v>0</v>
      </c>
      <c r="N28" s="29">
        <f t="shared" si="2"/>
        <v>0</v>
      </c>
      <c r="O28" s="29">
        <f>O27-O19</f>
        <v>0</v>
      </c>
      <c r="P28" s="29" t="s">
        <v>68</v>
      </c>
    </row>
    <row r="29" spans="3:16" ht="21" thickBot="1"/>
    <row r="30" spans="3:16" ht="32.25" customHeight="1" thickBot="1">
      <c r="C30" s="31">
        <f t="shared" ref="C30:N30" si="3">C27+C15</f>
        <v>0</v>
      </c>
      <c r="D30" s="31">
        <f t="shared" si="3"/>
        <v>0</v>
      </c>
      <c r="E30" s="31">
        <f t="shared" si="3"/>
        <v>0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1">
        <f>O27+O15</f>
        <v>0</v>
      </c>
      <c r="P30" s="31" t="s">
        <v>69</v>
      </c>
    </row>
    <row r="31" spans="3:16" ht="36.75" customHeight="1" thickTop="1" thickBot="1">
      <c r="C31" s="32">
        <f t="shared" ref="C31:N31" si="4">C28+C16</f>
        <v>0</v>
      </c>
      <c r="D31" s="32">
        <f t="shared" si="4"/>
        <v>0</v>
      </c>
      <c r="E31" s="32">
        <f t="shared" si="4"/>
        <v>0</v>
      </c>
      <c r="F31" s="32">
        <f t="shared" si="4"/>
        <v>0</v>
      </c>
      <c r="G31" s="32">
        <f t="shared" si="4"/>
        <v>0</v>
      </c>
      <c r="H31" s="32">
        <f t="shared" si="4"/>
        <v>0</v>
      </c>
      <c r="I31" s="32">
        <f t="shared" si="4"/>
        <v>0</v>
      </c>
      <c r="J31" s="32">
        <f t="shared" si="4"/>
        <v>0</v>
      </c>
      <c r="K31" s="32">
        <f t="shared" si="4"/>
        <v>0</v>
      </c>
      <c r="L31" s="32">
        <f t="shared" si="4"/>
        <v>0</v>
      </c>
      <c r="M31" s="32">
        <f t="shared" si="4"/>
        <v>0</v>
      </c>
      <c r="N31" s="32">
        <f t="shared" si="4"/>
        <v>0</v>
      </c>
      <c r="O31" s="32">
        <f>O28+O16</f>
        <v>0</v>
      </c>
      <c r="P31" s="33" t="s">
        <v>70</v>
      </c>
    </row>
    <row r="32" spans="3:16" ht="21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3"/>
  <sheetViews>
    <sheetView topLeftCell="L13" zoomScale="70" zoomScaleNormal="70" workbookViewId="0">
      <selection activeCell="O15" sqref="O15:O31"/>
    </sheetView>
  </sheetViews>
  <sheetFormatPr defaultColWidth="7.25" defaultRowHeight="30"/>
  <cols>
    <col min="1" max="1" width="7.25" style="44"/>
    <col min="2" max="2" width="22.375" style="44" bestFit="1" customWidth="1"/>
    <col min="3" max="3" width="32.875" style="44" bestFit="1" customWidth="1"/>
    <col min="4" max="15" width="26.125" style="44" bestFit="1" customWidth="1"/>
    <col min="16" max="16" width="77.75" style="44" bestFit="1" customWidth="1"/>
    <col min="17" max="16384" width="7.25" style="44"/>
  </cols>
  <sheetData>
    <row r="1" spans="3:16" ht="30.75" thickBot="1"/>
    <row r="2" spans="3:16" ht="31.5" thickTop="1" thickBot="1">
      <c r="J2" s="88"/>
      <c r="K2" s="88" t="s">
        <v>352</v>
      </c>
      <c r="L2" s="88"/>
      <c r="M2" s="88" t="s">
        <v>353</v>
      </c>
      <c r="N2" s="88"/>
      <c r="O2" s="88" t="s">
        <v>13</v>
      </c>
      <c r="P2" s="44" t="s">
        <v>71</v>
      </c>
    </row>
    <row r="3" spans="3:16" ht="31.5" thickTop="1" thickBot="1"/>
    <row r="4" spans="3:16" ht="32.25" customHeight="1" thickBot="1">
      <c r="C4" s="303" t="s">
        <v>44</v>
      </c>
      <c r="D4" s="303" t="s">
        <v>43</v>
      </c>
      <c r="E4" s="303" t="s">
        <v>10</v>
      </c>
      <c r="F4" s="303" t="s">
        <v>9</v>
      </c>
      <c r="G4" s="303" t="s">
        <v>8</v>
      </c>
      <c r="H4" s="303" t="s">
        <v>42</v>
      </c>
      <c r="I4" s="303" t="s">
        <v>6</v>
      </c>
      <c r="J4" s="303" t="s">
        <v>5</v>
      </c>
      <c r="K4" s="303" t="s">
        <v>4</v>
      </c>
      <c r="L4" s="303" t="s">
        <v>3</v>
      </c>
      <c r="M4" s="303" t="s">
        <v>2</v>
      </c>
      <c r="N4" s="303" t="s">
        <v>1</v>
      </c>
      <c r="O4" s="303" t="s">
        <v>41</v>
      </c>
      <c r="P4" s="303" t="s">
        <v>269</v>
      </c>
    </row>
    <row r="5" spans="3:16" ht="30.75" thickBo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30" t="s">
        <v>358</v>
      </c>
    </row>
    <row r="6" spans="3:16" ht="30.75" thickBo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0" t="s">
        <v>45</v>
      </c>
    </row>
    <row r="7" spans="3:16" ht="34.5" thickBot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30" t="s">
        <v>46</v>
      </c>
    </row>
    <row r="8" spans="3:16" ht="34.5" thickBot="1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0" t="s">
        <v>47</v>
      </c>
    </row>
    <row r="9" spans="3:16" ht="34.5" thickBot="1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0" t="s">
        <v>48</v>
      </c>
    </row>
    <row r="10" spans="3:16" ht="34.5" thickBo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30" t="s">
        <v>49</v>
      </c>
    </row>
    <row r="11" spans="3:16" ht="34.5" thickBo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0" t="s">
        <v>50</v>
      </c>
    </row>
    <row r="12" spans="3:16" ht="34.5" thickBo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0" t="s">
        <v>51</v>
      </c>
    </row>
    <row r="13" spans="3:16" ht="34.5" thickBot="1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30" t="s">
        <v>52</v>
      </c>
    </row>
    <row r="14" spans="3:16" ht="34.5" thickBot="1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30" t="s">
        <v>53</v>
      </c>
    </row>
    <row r="15" spans="3:16" ht="34.5" thickBot="1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6" t="s">
        <v>359</v>
      </c>
    </row>
    <row r="16" spans="3:16" ht="38.25" customHeight="1" thickBot="1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29" t="s">
        <v>65</v>
      </c>
    </row>
    <row r="17" spans="3:16" ht="35.25" customHeight="1" thickBot="1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8"/>
    </row>
    <row r="18" spans="3:16" ht="30.75" thickBot="1">
      <c r="C18" s="304" t="s">
        <v>44</v>
      </c>
      <c r="D18" s="304" t="s">
        <v>43</v>
      </c>
      <c r="E18" s="304" t="s">
        <v>10</v>
      </c>
      <c r="F18" s="304" t="s">
        <v>9</v>
      </c>
      <c r="G18" s="304" t="s">
        <v>8</v>
      </c>
      <c r="H18" s="304" t="s">
        <v>42</v>
      </c>
      <c r="I18" s="304" t="s">
        <v>6</v>
      </c>
      <c r="J18" s="304" t="s">
        <v>5</v>
      </c>
      <c r="K18" s="304" t="s">
        <v>4</v>
      </c>
      <c r="L18" s="304" t="s">
        <v>3</v>
      </c>
      <c r="M18" s="304" t="s">
        <v>2</v>
      </c>
      <c r="N18" s="304" t="s">
        <v>1</v>
      </c>
      <c r="O18" s="304" t="s">
        <v>41</v>
      </c>
      <c r="P18" s="305" t="s">
        <v>267</v>
      </c>
    </row>
    <row r="19" spans="3:16" ht="30.75" thickBot="1">
      <c r="C19" s="45">
        <f>SUM(D19:O19)</f>
        <v>0</v>
      </c>
      <c r="D19" s="45">
        <f>'جدول دارایی های ثابت مشهود '!AC20</f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 t="s">
        <v>57</v>
      </c>
    </row>
    <row r="20" spans="3:16" ht="30.75" thickBot="1">
      <c r="C20" s="45">
        <f t="shared" ref="C20:C27" si="0">SUM(D20:O20)</f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 t="s">
        <v>58</v>
      </c>
    </row>
    <row r="21" spans="3:16" ht="30.75" thickBot="1">
      <c r="C21" s="45">
        <f t="shared" si="0"/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 t="s">
        <v>59</v>
      </c>
    </row>
    <row r="22" spans="3:16" ht="30.75" thickBot="1">
      <c r="C22" s="45">
        <f t="shared" si="0"/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 t="s">
        <v>72</v>
      </c>
    </row>
    <row r="23" spans="3:16" ht="30.75" thickBot="1">
      <c r="C23" s="45">
        <f t="shared" si="0"/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 t="s">
        <v>61</v>
      </c>
    </row>
    <row r="24" spans="3:16" ht="30.75" thickBot="1">
      <c r="C24" s="45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 t="s">
        <v>63</v>
      </c>
    </row>
    <row r="25" spans="3:16" ht="30.75" thickBot="1">
      <c r="C25" s="45">
        <f t="shared" si="0"/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 t="s">
        <v>64</v>
      </c>
    </row>
    <row r="26" spans="3:16" ht="30.75" thickBot="1">
      <c r="C26" s="45">
        <f t="shared" si="0"/>
        <v>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 t="s">
        <v>74</v>
      </c>
    </row>
    <row r="27" spans="3:16" ht="30.75" thickBot="1">
      <c r="C27" s="45">
        <f t="shared" si="0"/>
        <v>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 t="s">
        <v>73</v>
      </c>
    </row>
    <row r="28" spans="3:16" ht="39.75" customHeight="1" thickBot="1">
      <c r="C28" s="47">
        <f t="shared" ref="C28:N28" si="1">SUM(C19:C27)</f>
        <v>0</v>
      </c>
      <c r="D28" s="47">
        <f t="shared" si="1"/>
        <v>0</v>
      </c>
      <c r="E28" s="47">
        <f t="shared" si="1"/>
        <v>0</v>
      </c>
      <c r="F28" s="47">
        <f t="shared" si="1"/>
        <v>0</v>
      </c>
      <c r="G28" s="47">
        <f t="shared" si="1"/>
        <v>0</v>
      </c>
      <c r="H28" s="47">
        <f t="shared" si="1"/>
        <v>0</v>
      </c>
      <c r="I28" s="47">
        <f t="shared" si="1"/>
        <v>0</v>
      </c>
      <c r="J28" s="47">
        <f t="shared" si="1"/>
        <v>0</v>
      </c>
      <c r="K28" s="47">
        <f t="shared" si="1"/>
        <v>0</v>
      </c>
      <c r="L28" s="47">
        <f t="shared" si="1"/>
        <v>0</v>
      </c>
      <c r="M28" s="47">
        <f t="shared" si="1"/>
        <v>0</v>
      </c>
      <c r="N28" s="47">
        <f t="shared" si="1"/>
        <v>0</v>
      </c>
      <c r="O28" s="47">
        <f>SUM(O19:O27)</f>
        <v>0</v>
      </c>
      <c r="P28" s="47" t="s">
        <v>75</v>
      </c>
    </row>
    <row r="29" spans="3:16" ht="36.75" customHeight="1" thickBot="1">
      <c r="C29" s="48">
        <f t="shared" ref="C29:N29" si="2">C28-C19</f>
        <v>0</v>
      </c>
      <c r="D29" s="48">
        <f t="shared" si="2"/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8">
        <f t="shared" si="2"/>
        <v>0</v>
      </c>
      <c r="J29" s="48">
        <f t="shared" si="2"/>
        <v>0</v>
      </c>
      <c r="K29" s="48">
        <f t="shared" si="2"/>
        <v>0</v>
      </c>
      <c r="L29" s="48">
        <f t="shared" si="2"/>
        <v>0</v>
      </c>
      <c r="M29" s="48">
        <f t="shared" si="2"/>
        <v>0</v>
      </c>
      <c r="N29" s="48">
        <f t="shared" si="2"/>
        <v>0</v>
      </c>
      <c r="O29" s="48">
        <f>O28-O19</f>
        <v>0</v>
      </c>
      <c r="P29" s="48" t="s">
        <v>68</v>
      </c>
    </row>
    <row r="30" spans="3:16" ht="30.75" thickBot="1"/>
    <row r="31" spans="3:16" ht="32.25" customHeight="1" thickBot="1">
      <c r="C31" s="49">
        <f t="shared" ref="C31:N31" si="3">C28+C15</f>
        <v>0</v>
      </c>
      <c r="D31" s="49">
        <f t="shared" si="3"/>
        <v>0</v>
      </c>
      <c r="E31" s="49">
        <f t="shared" si="3"/>
        <v>0</v>
      </c>
      <c r="F31" s="49">
        <f t="shared" si="3"/>
        <v>0</v>
      </c>
      <c r="G31" s="49">
        <f t="shared" si="3"/>
        <v>0</v>
      </c>
      <c r="H31" s="49">
        <f t="shared" si="3"/>
        <v>0</v>
      </c>
      <c r="I31" s="49">
        <f t="shared" si="3"/>
        <v>0</v>
      </c>
      <c r="J31" s="49">
        <f t="shared" si="3"/>
        <v>0</v>
      </c>
      <c r="K31" s="49">
        <f t="shared" si="3"/>
        <v>0</v>
      </c>
      <c r="L31" s="49">
        <f t="shared" si="3"/>
        <v>0</v>
      </c>
      <c r="M31" s="49">
        <f t="shared" si="3"/>
        <v>0</v>
      </c>
      <c r="N31" s="49">
        <f t="shared" si="3"/>
        <v>0</v>
      </c>
      <c r="O31" s="49">
        <f>O28+O15</f>
        <v>0</v>
      </c>
      <c r="P31" s="49" t="s">
        <v>76</v>
      </c>
    </row>
    <row r="32" spans="3:16" ht="36.75" customHeight="1" thickTop="1" thickBot="1">
      <c r="C32" s="50">
        <f t="shared" ref="C32:N32" si="4">C29+C16</f>
        <v>0</v>
      </c>
      <c r="D32" s="50">
        <f t="shared" si="4"/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0">
        <f t="shared" si="4"/>
        <v>0</v>
      </c>
      <c r="O32" s="50">
        <f>O29+O16</f>
        <v>0</v>
      </c>
      <c r="P32" s="51" t="s">
        <v>70</v>
      </c>
    </row>
    <row r="33" ht="30.7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6"/>
  <sheetViews>
    <sheetView zoomScale="70" zoomScaleNormal="70" workbookViewId="0">
      <selection activeCell="D20" sqref="D20"/>
    </sheetView>
  </sheetViews>
  <sheetFormatPr defaultColWidth="7.25" defaultRowHeight="20.25"/>
  <cols>
    <col min="1" max="2" width="7.25" style="25"/>
    <col min="3" max="3" width="30" style="25" bestFit="1" customWidth="1"/>
    <col min="4" max="10" width="18.125" style="25" bestFit="1" customWidth="1"/>
    <col min="11" max="11" width="25.875" style="25" bestFit="1" customWidth="1"/>
    <col min="12" max="15" width="18.125" style="25" bestFit="1" customWidth="1"/>
    <col min="16" max="16" width="44.75" style="25" bestFit="1" customWidth="1"/>
    <col min="17" max="19" width="7.25" style="25"/>
    <col min="20" max="20" width="3.875" style="25" customWidth="1"/>
    <col min="21" max="21" width="7.25" style="25" hidden="1" customWidth="1"/>
    <col min="22" max="22" width="12.75" style="25" bestFit="1" customWidth="1"/>
    <col min="23" max="23" width="23.375" style="25" bestFit="1" customWidth="1"/>
    <col min="24" max="24" width="13.375" style="25" bestFit="1" customWidth="1"/>
    <col min="25" max="25" width="29.625" style="25" bestFit="1" customWidth="1"/>
    <col min="26" max="16384" width="7.25" style="25"/>
  </cols>
  <sheetData>
    <row r="1" spans="3:25" ht="21" thickBot="1"/>
    <row r="2" spans="3:25" ht="31.5" thickTop="1" thickBot="1">
      <c r="J2" s="88"/>
      <c r="K2" s="88" t="s">
        <v>352</v>
      </c>
      <c r="L2" s="88"/>
      <c r="M2" s="88" t="s">
        <v>353</v>
      </c>
      <c r="N2" s="88"/>
      <c r="O2" s="88" t="s">
        <v>13</v>
      </c>
      <c r="P2" s="92" t="s">
        <v>56</v>
      </c>
    </row>
    <row r="3" spans="3:25" ht="21.75" thickTop="1" thickBot="1"/>
    <row r="4" spans="3:25" ht="32.25" customHeight="1" thickBot="1">
      <c r="C4" s="303" t="s">
        <v>44</v>
      </c>
      <c r="D4" s="303" t="s">
        <v>43</v>
      </c>
      <c r="E4" s="303" t="s">
        <v>10</v>
      </c>
      <c r="F4" s="303" t="s">
        <v>9</v>
      </c>
      <c r="G4" s="303" t="s">
        <v>8</v>
      </c>
      <c r="H4" s="303" t="s">
        <v>42</v>
      </c>
      <c r="I4" s="303" t="s">
        <v>6</v>
      </c>
      <c r="J4" s="303" t="s">
        <v>5</v>
      </c>
      <c r="K4" s="303" t="s">
        <v>4</v>
      </c>
      <c r="L4" s="303" t="s">
        <v>3</v>
      </c>
      <c r="M4" s="303" t="s">
        <v>2</v>
      </c>
      <c r="N4" s="303" t="s">
        <v>1</v>
      </c>
      <c r="O4" s="303" t="s">
        <v>41</v>
      </c>
      <c r="P4" s="303" t="s">
        <v>269</v>
      </c>
      <c r="V4" s="303" t="s">
        <v>400</v>
      </c>
      <c r="W4" s="303" t="s">
        <v>402</v>
      </c>
      <c r="X4" s="303" t="s">
        <v>401</v>
      </c>
      <c r="Y4" s="303" t="s">
        <v>407</v>
      </c>
    </row>
    <row r="5" spans="3:25" ht="31.5" customHeight="1" thickBot="1">
      <c r="C5" s="61">
        <f>SUM(D5:O5)</f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30" t="s">
        <v>356</v>
      </c>
      <c r="V5" s="93" t="s">
        <v>403</v>
      </c>
      <c r="W5" s="93">
        <f>C15/12</f>
        <v>0</v>
      </c>
      <c r="X5" s="93">
        <f>N2</f>
        <v>0</v>
      </c>
      <c r="Y5" s="93" t="e">
        <f>C15/N2/12</f>
        <v>#DIV/0!</v>
      </c>
    </row>
    <row r="6" spans="3:25" ht="30.75" thickBot="1">
      <c r="C6" s="61">
        <f t="shared" ref="C6:C14" si="0">SUM(D6:O6)</f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0" t="s">
        <v>45</v>
      </c>
      <c r="V6" s="93" t="s">
        <v>404</v>
      </c>
      <c r="W6" s="93">
        <f>'هزینه اداری '!C15/12</f>
        <v>0</v>
      </c>
      <c r="X6" s="93">
        <f>'هزینه اداری '!N2</f>
        <v>0</v>
      </c>
      <c r="Y6" s="93" t="e">
        <f>'هزینه اداری '!C15/12/'هزینه اداری '!N2</f>
        <v>#DIV/0!</v>
      </c>
    </row>
    <row r="7" spans="3:25" ht="34.5" thickBot="1">
      <c r="C7" s="61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30" t="s">
        <v>46</v>
      </c>
      <c r="V7" s="93" t="s">
        <v>405</v>
      </c>
      <c r="W7" s="93">
        <f>'توزیع و فروش '!C15/12</f>
        <v>0</v>
      </c>
      <c r="X7" s="93">
        <f>'توزیع و فروش '!N2</f>
        <v>0</v>
      </c>
      <c r="Y7" s="93" t="e">
        <f>'توزیع و فروش '!C15/12/'توزیع و فروش '!N2</f>
        <v>#DIV/0!</v>
      </c>
    </row>
    <row r="8" spans="3:25" ht="34.5" thickBot="1">
      <c r="C8" s="61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0" t="s">
        <v>47</v>
      </c>
      <c r="V8" s="93" t="s">
        <v>406</v>
      </c>
      <c r="W8" s="93">
        <f>'هزینه سربار تولیدی '!C15/12</f>
        <v>0</v>
      </c>
      <c r="X8" s="93">
        <f>'هزینه سربار تولیدی '!N2</f>
        <v>0</v>
      </c>
      <c r="Y8" s="93" t="e">
        <f>'هزینه سربار تولیدی '!C15/12/'هزینه سربار تولیدی '!N2</f>
        <v>#DIV/0!</v>
      </c>
    </row>
    <row r="9" spans="3:25" ht="34.5" thickBot="1">
      <c r="C9" s="61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0" t="s">
        <v>48</v>
      </c>
      <c r="V9" s="93" t="s">
        <v>12</v>
      </c>
      <c r="W9" s="93">
        <f>SUM(W5:W8)</f>
        <v>0</v>
      </c>
      <c r="X9" s="93">
        <f>SUM(X5:X8)</f>
        <v>0</v>
      </c>
      <c r="Y9" s="93" t="e">
        <f>(C15+'هزینه اداری '!C15+'هزینه سربار تولیدی '!C15+'توزیع و فروش '!C15)/12/'دستمزد مستقیم'!X9</f>
        <v>#DIV/0!</v>
      </c>
    </row>
    <row r="10" spans="3:25" ht="34.5" thickBot="1">
      <c r="C10" s="61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30" t="s">
        <v>49</v>
      </c>
    </row>
    <row r="11" spans="3:25" ht="34.5" thickBot="1">
      <c r="C11" s="61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0" t="s">
        <v>50</v>
      </c>
    </row>
    <row r="12" spans="3:25" ht="34.5" thickBot="1">
      <c r="C12" s="61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0" t="s">
        <v>51</v>
      </c>
    </row>
    <row r="13" spans="3:25" ht="34.5" thickBot="1">
      <c r="C13" s="61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30" t="s">
        <v>52</v>
      </c>
    </row>
    <row r="14" spans="3:25" ht="34.5" thickBot="1">
      <c r="C14" s="61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30" t="s">
        <v>53</v>
      </c>
    </row>
    <row r="15" spans="3:25" ht="34.5" thickBot="1">
      <c r="C15" s="63">
        <f>SUM(C5:C14)</f>
        <v>0</v>
      </c>
      <c r="D15" s="63">
        <f t="shared" ref="D15:O15" si="1">SUM(D5:D14)</f>
        <v>0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63">
        <f t="shared" si="1"/>
        <v>0</v>
      </c>
      <c r="N15" s="63">
        <f t="shared" si="1"/>
        <v>0</v>
      </c>
      <c r="O15" s="63">
        <f t="shared" si="1"/>
        <v>0</v>
      </c>
      <c r="P15" s="26" t="s">
        <v>357</v>
      </c>
    </row>
    <row r="16" spans="3:25" ht="31.5" customHeight="1" thickBot="1">
      <c r="C16" s="27">
        <f t="shared" ref="C16:N16" si="2">C15-C14</f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O16" s="27">
        <f>O15-O14</f>
        <v>0</v>
      </c>
      <c r="P16" s="29" t="s">
        <v>54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5"/>
  <sheetViews>
    <sheetView topLeftCell="I1" zoomScale="60" zoomScaleNormal="60" workbookViewId="0">
      <selection activeCell="T22" sqref="S1:T22"/>
    </sheetView>
  </sheetViews>
  <sheetFormatPr defaultColWidth="7.25" defaultRowHeight="30"/>
  <cols>
    <col min="1" max="1" width="7.25" style="44"/>
    <col min="2" max="2" width="20.875" style="44" bestFit="1" customWidth="1"/>
    <col min="3" max="3" width="42.375" style="44" bestFit="1" customWidth="1"/>
    <col min="4" max="4" width="27.625" style="44" bestFit="1" customWidth="1"/>
    <col min="5" max="15" width="25.125" style="44" bestFit="1" customWidth="1"/>
    <col min="16" max="16" width="86.375" style="44" bestFit="1" customWidth="1"/>
    <col min="17" max="16384" width="7.25" style="44"/>
  </cols>
  <sheetData>
    <row r="1" spans="3:16" ht="30.75" thickBot="1"/>
    <row r="2" spans="3:16" ht="31.5" thickTop="1" thickBot="1">
      <c r="J2" s="88"/>
      <c r="K2" s="88" t="s">
        <v>352</v>
      </c>
      <c r="L2" s="88"/>
      <c r="M2" s="88" t="s">
        <v>353</v>
      </c>
      <c r="N2" s="88"/>
      <c r="O2" s="88" t="s">
        <v>13</v>
      </c>
      <c r="P2" s="88" t="s">
        <v>77</v>
      </c>
    </row>
    <row r="3" spans="3:16" ht="31.5" thickTop="1" thickBot="1"/>
    <row r="4" spans="3:16" ht="32.25" customHeight="1" thickBot="1">
      <c r="C4" s="303" t="s">
        <v>44</v>
      </c>
      <c r="D4" s="303" t="s">
        <v>43</v>
      </c>
      <c r="E4" s="303" t="s">
        <v>10</v>
      </c>
      <c r="F4" s="303" t="s">
        <v>9</v>
      </c>
      <c r="G4" s="303" t="s">
        <v>8</v>
      </c>
      <c r="H4" s="303" t="s">
        <v>42</v>
      </c>
      <c r="I4" s="303" t="s">
        <v>6</v>
      </c>
      <c r="J4" s="303" t="s">
        <v>5</v>
      </c>
      <c r="K4" s="303" t="s">
        <v>4</v>
      </c>
      <c r="L4" s="303" t="s">
        <v>3</v>
      </c>
      <c r="M4" s="303" t="s">
        <v>2</v>
      </c>
      <c r="N4" s="303" t="s">
        <v>1</v>
      </c>
      <c r="O4" s="303" t="s">
        <v>41</v>
      </c>
      <c r="P4" s="303" t="s">
        <v>269</v>
      </c>
    </row>
    <row r="5" spans="3:16" ht="30.75" thickBo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30" t="s">
        <v>354</v>
      </c>
    </row>
    <row r="6" spans="3:16" ht="30.75" thickBo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0" t="s">
        <v>45</v>
      </c>
    </row>
    <row r="7" spans="3:16" ht="34.5" thickBot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30" t="s">
        <v>46</v>
      </c>
    </row>
    <row r="8" spans="3:16" ht="34.5" thickBot="1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0" t="s">
        <v>47</v>
      </c>
    </row>
    <row r="9" spans="3:16" ht="34.5" thickBot="1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0" t="s">
        <v>48</v>
      </c>
    </row>
    <row r="10" spans="3:16" ht="34.5" thickBo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30" t="s">
        <v>49</v>
      </c>
    </row>
    <row r="11" spans="3:16" ht="34.5" thickBo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0" t="s">
        <v>50</v>
      </c>
    </row>
    <row r="12" spans="3:16" ht="34.5" thickBo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0" t="s">
        <v>51</v>
      </c>
    </row>
    <row r="13" spans="3:16" ht="34.5" thickBot="1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30" t="s">
        <v>52</v>
      </c>
    </row>
    <row r="14" spans="3:16" ht="34.5" thickBot="1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30" t="s">
        <v>53</v>
      </c>
    </row>
    <row r="15" spans="3:16" ht="34.5" thickBot="1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6" t="s">
        <v>355</v>
      </c>
    </row>
    <row r="16" spans="3:16" ht="35.25" customHeight="1" thickBot="1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48" t="s">
        <v>65</v>
      </c>
    </row>
    <row r="17" spans="3:16" ht="35.25" customHeight="1" thickBot="1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8"/>
    </row>
    <row r="18" spans="3:16" ht="30.75" thickBot="1">
      <c r="C18" s="304" t="s">
        <v>44</v>
      </c>
      <c r="D18" s="304" t="s">
        <v>43</v>
      </c>
      <c r="E18" s="304" t="s">
        <v>10</v>
      </c>
      <c r="F18" s="304" t="s">
        <v>9</v>
      </c>
      <c r="G18" s="304" t="s">
        <v>8</v>
      </c>
      <c r="H18" s="304" t="s">
        <v>42</v>
      </c>
      <c r="I18" s="304" t="s">
        <v>6</v>
      </c>
      <c r="J18" s="304" t="s">
        <v>5</v>
      </c>
      <c r="K18" s="304" t="s">
        <v>4</v>
      </c>
      <c r="L18" s="304" t="s">
        <v>3</v>
      </c>
      <c r="M18" s="304" t="s">
        <v>2</v>
      </c>
      <c r="N18" s="304" t="s">
        <v>1</v>
      </c>
      <c r="O18" s="304" t="s">
        <v>41</v>
      </c>
      <c r="P18" s="306" t="s">
        <v>266</v>
      </c>
    </row>
    <row r="19" spans="3:16" ht="30.75" thickBot="1">
      <c r="C19" s="69">
        <f>SUM(D19:O19)</f>
        <v>0</v>
      </c>
      <c r="D19" s="69">
        <f>'جدول دارایی های ثابت مشهود '!AA20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6" t="s">
        <v>57</v>
      </c>
    </row>
    <row r="20" spans="3:16" ht="30.75" thickBot="1">
      <c r="C20" s="69">
        <f t="shared" ref="C20:C29" si="0">SUM(D20:O20)</f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 t="s">
        <v>58</v>
      </c>
    </row>
    <row r="21" spans="3:16" ht="30.75" thickBot="1">
      <c r="C21" s="69">
        <f t="shared" si="0"/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 t="s">
        <v>59</v>
      </c>
    </row>
    <row r="22" spans="3:16" ht="30.75" thickBot="1">
      <c r="C22" s="69">
        <f t="shared" si="0"/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 t="s">
        <v>78</v>
      </c>
    </row>
    <row r="23" spans="3:16" ht="30.75" thickBot="1">
      <c r="C23" s="69">
        <f t="shared" si="0"/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 t="s">
        <v>61</v>
      </c>
    </row>
    <row r="24" spans="3:16" ht="30.75" thickBot="1">
      <c r="C24" s="69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 t="s">
        <v>63</v>
      </c>
    </row>
    <row r="25" spans="3:16" ht="30.75" thickBot="1">
      <c r="C25" s="69">
        <f t="shared" si="0"/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 t="s">
        <v>64</v>
      </c>
    </row>
    <row r="26" spans="3:16" ht="30.75" thickBot="1">
      <c r="C26" s="69">
        <f t="shared" si="0"/>
        <v>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 t="s">
        <v>79</v>
      </c>
    </row>
    <row r="27" spans="3:16" ht="30.75" thickBot="1">
      <c r="C27" s="69">
        <f t="shared" si="0"/>
        <v>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 t="s">
        <v>82</v>
      </c>
    </row>
    <row r="28" spans="3:16" ht="30.75" thickBot="1">
      <c r="C28" s="69">
        <f t="shared" si="0"/>
        <v>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 t="s">
        <v>80</v>
      </c>
    </row>
    <row r="29" spans="3:16" ht="30.75" thickBot="1">
      <c r="C29" s="69">
        <f t="shared" si="0"/>
        <v>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 t="s">
        <v>81</v>
      </c>
    </row>
    <row r="30" spans="3:16" ht="39.75" customHeight="1" thickBot="1">
      <c r="C30" s="47">
        <f t="shared" ref="C30:N30" si="1">SUM(C19:C29)</f>
        <v>0</v>
      </c>
      <c r="D30" s="47">
        <f t="shared" si="1"/>
        <v>0</v>
      </c>
      <c r="E30" s="47">
        <f t="shared" si="1"/>
        <v>0</v>
      </c>
      <c r="F30" s="47">
        <f t="shared" si="1"/>
        <v>0</v>
      </c>
      <c r="G30" s="47">
        <f t="shared" si="1"/>
        <v>0</v>
      </c>
      <c r="H30" s="47">
        <f t="shared" si="1"/>
        <v>0</v>
      </c>
      <c r="I30" s="47">
        <f t="shared" si="1"/>
        <v>0</v>
      </c>
      <c r="J30" s="47">
        <f t="shared" si="1"/>
        <v>0</v>
      </c>
      <c r="K30" s="47">
        <f t="shared" si="1"/>
        <v>0</v>
      </c>
      <c r="L30" s="47">
        <f t="shared" si="1"/>
        <v>0</v>
      </c>
      <c r="M30" s="47">
        <f t="shared" si="1"/>
        <v>0</v>
      </c>
      <c r="N30" s="47">
        <f t="shared" si="1"/>
        <v>0</v>
      </c>
      <c r="O30" s="47">
        <f>SUM(O19:O29)</f>
        <v>0</v>
      </c>
      <c r="P30" s="47" t="s">
        <v>83</v>
      </c>
    </row>
    <row r="31" spans="3:16" ht="36.75" customHeight="1" thickBot="1">
      <c r="C31" s="48">
        <f t="shared" ref="C31:N31" si="2">C30-C19</f>
        <v>0</v>
      </c>
      <c r="D31" s="48">
        <f t="shared" si="2"/>
        <v>0</v>
      </c>
      <c r="E31" s="48">
        <f t="shared" si="2"/>
        <v>0</v>
      </c>
      <c r="F31" s="48">
        <f t="shared" si="2"/>
        <v>0</v>
      </c>
      <c r="G31" s="48">
        <f t="shared" si="2"/>
        <v>0</v>
      </c>
      <c r="H31" s="48">
        <f t="shared" si="2"/>
        <v>0</v>
      </c>
      <c r="I31" s="48">
        <f t="shared" si="2"/>
        <v>0</v>
      </c>
      <c r="J31" s="48">
        <f t="shared" si="2"/>
        <v>0</v>
      </c>
      <c r="K31" s="48">
        <f t="shared" si="2"/>
        <v>0</v>
      </c>
      <c r="L31" s="48">
        <f t="shared" si="2"/>
        <v>0</v>
      </c>
      <c r="M31" s="48">
        <f t="shared" si="2"/>
        <v>0</v>
      </c>
      <c r="N31" s="48">
        <f t="shared" si="2"/>
        <v>0</v>
      </c>
      <c r="O31" s="48">
        <f>O30-O19</f>
        <v>0</v>
      </c>
      <c r="P31" s="48" t="s">
        <v>68</v>
      </c>
    </row>
    <row r="32" spans="3:16" ht="30.75" thickBot="1"/>
    <row r="33" spans="3:16" ht="32.25" customHeight="1" thickBot="1">
      <c r="C33" s="49">
        <f t="shared" ref="C33:N33" si="3">C30+C15</f>
        <v>0</v>
      </c>
      <c r="D33" s="49">
        <f t="shared" si="3"/>
        <v>0</v>
      </c>
      <c r="E33" s="49">
        <f t="shared" si="3"/>
        <v>0</v>
      </c>
      <c r="F33" s="49">
        <f t="shared" si="3"/>
        <v>0</v>
      </c>
      <c r="G33" s="49">
        <f t="shared" si="3"/>
        <v>0</v>
      </c>
      <c r="H33" s="49">
        <f t="shared" si="3"/>
        <v>0</v>
      </c>
      <c r="I33" s="49">
        <f t="shared" si="3"/>
        <v>0</v>
      </c>
      <c r="J33" s="49">
        <f t="shared" si="3"/>
        <v>0</v>
      </c>
      <c r="K33" s="49">
        <f t="shared" si="3"/>
        <v>0</v>
      </c>
      <c r="L33" s="49">
        <f t="shared" si="3"/>
        <v>0</v>
      </c>
      <c r="M33" s="49">
        <f t="shared" si="3"/>
        <v>0</v>
      </c>
      <c r="N33" s="49">
        <f t="shared" si="3"/>
        <v>0</v>
      </c>
      <c r="O33" s="49">
        <f>O30+O15</f>
        <v>0</v>
      </c>
      <c r="P33" s="49" t="s">
        <v>84</v>
      </c>
    </row>
    <row r="34" spans="3:16" ht="36.75" customHeight="1" thickTop="1" thickBot="1">
      <c r="C34" s="50">
        <f t="shared" ref="C34:N34" si="4">C31+C16</f>
        <v>0</v>
      </c>
      <c r="D34" s="50">
        <f t="shared" si="4"/>
        <v>0</v>
      </c>
      <c r="E34" s="50">
        <f t="shared" si="4"/>
        <v>0</v>
      </c>
      <c r="F34" s="50">
        <f t="shared" si="4"/>
        <v>0</v>
      </c>
      <c r="G34" s="50">
        <f t="shared" si="4"/>
        <v>0</v>
      </c>
      <c r="H34" s="50">
        <f t="shared" si="4"/>
        <v>0</v>
      </c>
      <c r="I34" s="50">
        <f t="shared" si="4"/>
        <v>0</v>
      </c>
      <c r="J34" s="50">
        <f t="shared" si="4"/>
        <v>0</v>
      </c>
      <c r="K34" s="50">
        <f t="shared" si="4"/>
        <v>0</v>
      </c>
      <c r="L34" s="50">
        <f t="shared" si="4"/>
        <v>0</v>
      </c>
      <c r="M34" s="50">
        <f t="shared" si="4"/>
        <v>0</v>
      </c>
      <c r="N34" s="50">
        <f t="shared" si="4"/>
        <v>0</v>
      </c>
      <c r="O34" s="50">
        <f>O31+O16</f>
        <v>0</v>
      </c>
      <c r="P34" s="51" t="s">
        <v>70</v>
      </c>
    </row>
    <row r="35" spans="3:16" ht="30.75" thickTop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فروش - محصول A</vt:lpstr>
      <vt:lpstr>فروش محصول B</vt:lpstr>
      <vt:lpstr>فروش محصول C</vt:lpstr>
      <vt:lpstr>فروش محصولات </vt:lpstr>
      <vt:lpstr>گردش قیمت تمام شده - محصولات</vt:lpstr>
      <vt:lpstr>هزینه سربار تولیدی </vt:lpstr>
      <vt:lpstr>هزینه اداری </vt:lpstr>
      <vt:lpstr>دستمزد مستقیم</vt:lpstr>
      <vt:lpstr>توزیع و فروش </vt:lpstr>
      <vt:lpstr>جدول دارایی های ثابت مشهود </vt:lpstr>
      <vt:lpstr>سود و زیان </vt:lpstr>
      <vt:lpstr>ترازنامه</vt:lpstr>
      <vt:lpstr>گردش جریان وجه نقد</vt:lpstr>
      <vt:lpstr>Sheet1</vt:lpstr>
      <vt:lpstr>sheet2</vt:lpstr>
      <vt:lpstr>bom</vt:lpstr>
      <vt:lpstr>گردش توليد و مواد ( A)</vt:lpstr>
      <vt:lpstr>گردش توليد و مواد B</vt:lpstr>
      <vt:lpstr>گردش توليد و مواد C</vt:lpstr>
      <vt:lpstr>نیاز مواد اولیه - مقادیر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b.soltani</dc:creator>
  <cp:lastModifiedBy>AMIRVESALI</cp:lastModifiedBy>
  <cp:lastPrinted>2009-12-17T07:06:12Z</cp:lastPrinted>
  <dcterms:created xsi:type="dcterms:W3CDTF">2009-04-24T18:49:59Z</dcterms:created>
  <dcterms:modified xsi:type="dcterms:W3CDTF">2015-06-19T10:24:07Z</dcterms:modified>
</cp:coreProperties>
</file>