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20" yWindow="45" windowWidth="15135" windowHeight="8130"/>
  </bookViews>
  <sheets>
    <sheet name="Sheet1" sheetId="1" r:id="rId1"/>
    <sheet name="راهنما" sheetId="2" r:id="rId2"/>
  </sheets>
  <calcPr calcId="152511"/>
</workbook>
</file>

<file path=xl/calcChain.xml><?xml version="1.0" encoding="utf-8"?>
<calcChain xmlns="http://schemas.openxmlformats.org/spreadsheetml/2006/main">
  <c r="E19" i="1" l="1"/>
  <c r="C19" i="1" s="1"/>
  <c r="C3" i="1"/>
  <c r="C4" i="1" s="1"/>
  <c r="B4" i="1"/>
  <c r="A3" i="1"/>
  <c r="A4" i="1" s="1"/>
  <c r="D4" i="1" s="1"/>
  <c r="A10" i="1" s="1"/>
  <c r="A11" i="1" s="1"/>
  <c r="B10" i="1" s="1"/>
  <c r="F19" i="1" l="1"/>
  <c r="C5" i="1"/>
  <c r="E11" i="1"/>
  <c r="C10" i="1"/>
  <c r="C11" i="1" s="1"/>
  <c r="D10" i="1" s="1"/>
  <c r="D11" i="1" s="1"/>
  <c r="E10" i="1" s="1"/>
  <c r="B7" i="1"/>
  <c r="E7" i="1" s="1"/>
  <c r="B6" i="1"/>
  <c r="E6" i="1" s="1"/>
  <c r="C6" i="1" s="1"/>
  <c r="D6" i="1" s="1"/>
  <c r="E18" i="1" l="1"/>
  <c r="F18" i="1" s="1"/>
  <c r="C18" i="1"/>
  <c r="E21" i="1"/>
  <c r="E20" i="1"/>
  <c r="E17" i="1"/>
  <c r="E16" i="1"/>
  <c r="B11" i="1"/>
  <c r="F10" i="1" s="1"/>
  <c r="F11" i="1" s="1"/>
  <c r="B18" i="1" s="1"/>
  <c r="B9" i="1"/>
  <c r="E8" i="1"/>
  <c r="E9" i="1" s="1"/>
  <c r="F8" i="1" s="1"/>
  <c r="C7" i="1"/>
  <c r="D7" i="1" s="1"/>
  <c r="F9" i="1" l="1"/>
  <c r="C8" i="1" s="1"/>
  <c r="B19" i="1"/>
  <c r="A26" i="1"/>
  <c r="F16" i="1"/>
  <c r="C16" i="1" s="1"/>
  <c r="F17" i="1"/>
  <c r="C17" i="1" s="1"/>
  <c r="F20" i="1"/>
  <c r="C20" i="1" s="1"/>
  <c r="F21" i="1"/>
  <c r="C21" i="1" s="1"/>
  <c r="B8" i="1" l="1"/>
  <c r="D8" i="1"/>
  <c r="B26" i="1"/>
  <c r="B25" i="1" s="1"/>
  <c r="B21" i="1"/>
  <c r="B20" i="1"/>
  <c r="B17" i="1"/>
  <c r="B16" i="1"/>
  <c r="B22" i="1" s="1"/>
  <c r="C26" i="1" l="1"/>
  <c r="C25" i="1" s="1"/>
  <c r="D25" i="1" s="1"/>
</calcChain>
</file>

<file path=xl/sharedStrings.xml><?xml version="1.0" encoding="utf-8"?>
<sst xmlns="http://schemas.openxmlformats.org/spreadsheetml/2006/main" count="44" uniqueCount="40">
  <si>
    <t>s</t>
  </si>
  <si>
    <t>شنبه</t>
  </si>
  <si>
    <t>شمسی(s)</t>
  </si>
  <si>
    <t>قمری(q)</t>
  </si>
  <si>
    <t>میلادی(m)</t>
  </si>
  <si>
    <t>تقویم</t>
  </si>
  <si>
    <t>سال</t>
  </si>
  <si>
    <t>ماه</t>
  </si>
  <si>
    <t>روز</t>
  </si>
  <si>
    <t>روز ژولینی(j)</t>
  </si>
  <si>
    <t>طلوع</t>
  </si>
  <si>
    <t>خورشیددرقبله</t>
  </si>
  <si>
    <t>غروب</t>
  </si>
  <si>
    <t>نیمه شب</t>
  </si>
  <si>
    <t>H1</t>
  </si>
  <si>
    <t>اذان صبح</t>
  </si>
  <si>
    <t>اذان ظهر</t>
  </si>
  <si>
    <t>اذان مغرب</t>
  </si>
  <si>
    <t>H2</t>
  </si>
  <si>
    <t>ارتفاع</t>
  </si>
  <si>
    <t>سمت</t>
  </si>
  <si>
    <t>تا قبله</t>
  </si>
  <si>
    <t>ساعت دلخواه</t>
  </si>
  <si>
    <t>ارتفاع خورشید</t>
  </si>
  <si>
    <t>سمت خورشید</t>
  </si>
  <si>
    <t>مکان</t>
  </si>
  <si>
    <t>منطقه زمانی</t>
  </si>
  <si>
    <t>تهیه و نگارش: سید محمد حسین مصدق</t>
  </si>
  <si>
    <t>اوقات شرعی</t>
  </si>
  <si>
    <t>موقعیت</t>
  </si>
  <si>
    <t>طول جغرافیایی</t>
  </si>
  <si>
    <t>عرض جغرافیایی</t>
  </si>
  <si>
    <t>نرم افزار تبدیل تاریخ، اوقات شرعی و قبله یابی</t>
  </si>
  <si>
    <r>
      <t xml:space="preserve">در این نرم افزار مقادیر به رنگ </t>
    </r>
    <r>
      <rPr>
        <b/>
        <sz val="11"/>
        <color theme="3" tint="0.39997558519241921"/>
        <rFont val="B Nazanin"/>
        <charset val="178"/>
      </rPr>
      <t>آبی</t>
    </r>
    <r>
      <rPr>
        <b/>
        <sz val="11"/>
        <color theme="1"/>
        <rFont val="B Nazanin"/>
        <charset val="178"/>
      </rPr>
      <t xml:space="preserve"> قابل تغییر بوده و توسط کاربر تعیین می شود و مقادیر </t>
    </r>
    <r>
      <rPr>
        <b/>
        <sz val="11"/>
        <color rgb="FFFF0000"/>
        <rFont val="B Nazanin"/>
        <charset val="178"/>
      </rPr>
      <t>قرمز</t>
    </r>
    <r>
      <rPr>
        <b/>
        <sz val="11"/>
        <color theme="1"/>
        <rFont val="B Nazanin"/>
        <charset val="178"/>
      </rPr>
      <t xml:space="preserve"> رنگ خروجی محاسبات می باشند و غیر قابل تغییر.</t>
    </r>
  </si>
  <si>
    <t>با وارد کردن روز، ماه، سال و تعیین نوع تقویم (s: هجری شمسی- q: هجری قمری و m: میلادی) و زدن اینتر، تاریخ مورد نظر در هر سه نوع تقویم به همراه روز هفته نمایش داده می شود همچنین روز ژولینی که بر حسب روز شمارش می شود و در محاسبات نجومی کاربرد دارد.</t>
  </si>
  <si>
    <t>در پایان همچنین می توانید با وارد کردن یک ساعت دلخواه در روز، زوایای ارتفاع، سمت و تفاوت سمت قبله تا خورشید را نیز ملاحظه کنید.</t>
  </si>
  <si>
    <t>با وارد کردن طول و عرض جغرافیایی محل و ساعت منطقه ای (برای ایران در شش برج اول سال 4.5 ساعت و شش برج آخر سال 3.5 ساعت می باشد) و زدن اینتر، اوقات شرعی به افق محل مورد نظر به همراه زاویه سمت خورشید محاسبه و نمایش داده می شود. همچنین زمان قرار گرفتن خورشید در سمت قبله نیز محاسبه می شود که در آن لحظه خورشید هم راستا با جهت قبله بوده و با استفاده از سایه شاقل یا شاخص می توان جهت قبله را تعیین نمود.</t>
  </si>
  <si>
    <t>یزد</t>
  </si>
  <si>
    <t>تهیه شده توسط: سید محمد حسین مصدق</t>
  </si>
  <si>
    <t>paran.blog.ir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</si>
</sst>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name val="B Kamran"/>
      <charset val="178"/>
    </font>
    <font>
      <sz val="12"/>
      <name val="B Kamran"/>
      <charset val="178"/>
    </font>
    <font>
      <b/>
      <sz val="11"/>
      <color theme="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Titr"/>
      <charset val="178"/>
    </font>
    <font>
      <b/>
      <sz val="11"/>
      <color theme="3" tint="0.39997558519241921"/>
      <name val="B Nazanin"/>
      <charset val="178"/>
    </font>
    <font>
      <b/>
      <sz val="11"/>
      <color rgb="FF0070C0"/>
      <name val="B Nazanin"/>
      <charset val="178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0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vertical="top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RowColHeaders="0" tabSelected="1" workbookViewId="0">
      <selection activeCell="D2" sqref="D2"/>
    </sheetView>
  </sheetViews>
  <sheetFormatPr defaultColWidth="0" defaultRowHeight="15" zeroHeight="1" x14ac:dyDescent="0.25"/>
  <cols>
    <col min="1" max="1" width="10.85546875" customWidth="1"/>
    <col min="2" max="2" width="10.5703125" customWidth="1"/>
    <col min="3" max="3" width="10" customWidth="1"/>
    <col min="4" max="4" width="9.5703125" customWidth="1"/>
    <col min="5" max="9" width="0" hidden="1" customWidth="1"/>
    <col min="10" max="16384" width="9" hidden="1"/>
  </cols>
  <sheetData>
    <row r="1" spans="1:9" ht="18.75" x14ac:dyDescent="0.45">
      <c r="A1" s="6" t="s">
        <v>5</v>
      </c>
      <c r="B1" s="6" t="s">
        <v>6</v>
      </c>
      <c r="C1" s="6" t="s">
        <v>7</v>
      </c>
      <c r="D1" s="6" t="s">
        <v>8</v>
      </c>
    </row>
    <row r="2" spans="1:9" x14ac:dyDescent="0.25">
      <c r="A2" s="3" t="s">
        <v>0</v>
      </c>
      <c r="B2" s="3">
        <v>1394</v>
      </c>
      <c r="C2" s="3">
        <v>11</v>
      </c>
      <c r="D2" s="3">
        <v>12</v>
      </c>
    </row>
    <row r="3" spans="1:9" hidden="1" x14ac:dyDescent="0.25">
      <c r="A3" s="8">
        <f xml:space="preserve"> IF(C2&lt;7,31*(C2-1),30*C2-24)</f>
        <v>306</v>
      </c>
      <c r="B3" s="8"/>
      <c r="C3" s="8">
        <f xml:space="preserve"> IF(C2&lt;3,INT(365.25*(B2-1))+INT(30.6*(C2+13))+D2-227326,INT(365.25*B2)+INT(30.6*(C2+1))+D2-227326)</f>
        <v>282211</v>
      </c>
      <c r="D3" s="8"/>
    </row>
    <row r="4" spans="1:9" hidden="1" x14ac:dyDescent="0.25">
      <c r="A4" s="8">
        <f xml:space="preserve"> INT(365.2422*(B2-1)+0.2)+A3+D2-1</f>
        <v>509099</v>
      </c>
      <c r="B4" s="8">
        <f xml:space="preserve"> INT(29.53059*(12*B2+C2-13))+D2+118</f>
        <v>494058</v>
      </c>
      <c r="C4" s="8">
        <f xml:space="preserve"> IF(C3&lt;350850,C3,C3-INT(B2/100)+INT(INT(B2/100)/4)+2)</f>
        <v>282211</v>
      </c>
      <c r="D4" s="8">
        <f xml:space="preserve"> IF(A2="s",A4,IF(A2="q",B4,IF(A2="m",C4,IF(A2="j",INT(B2-1948320.5)))))</f>
        <v>509099</v>
      </c>
    </row>
    <row r="5" spans="1:9" x14ac:dyDescent="0.25">
      <c r="A5" s="19" t="s">
        <v>1</v>
      </c>
      <c r="B5" s="19"/>
      <c r="C5" s="18">
        <f xml:space="preserve"> D4-7*INT((D4-1)/7)-1</f>
        <v>2</v>
      </c>
      <c r="D5" s="18"/>
    </row>
    <row r="6" spans="1:9" ht="18.75" x14ac:dyDescent="0.45">
      <c r="A6" s="6" t="s">
        <v>2</v>
      </c>
      <c r="B6" s="9">
        <f xml:space="preserve"> INT((D4+0.8)/365.2422)+1</f>
        <v>1394</v>
      </c>
      <c r="C6" s="9">
        <f xml:space="preserve"> IF(E6&lt;200,INT(E6/31)+1,INT((E6-6)/30)+1)</f>
        <v>11</v>
      </c>
      <c r="D6" s="9">
        <f xml:space="preserve"> IF(C6&lt;7,E6-31*C6+32,E6-30*C6+25)</f>
        <v>12</v>
      </c>
      <c r="E6" s="1">
        <f xml:space="preserve"> D4-INT(365.2422*(B6-1)+0.2)</f>
        <v>317</v>
      </c>
      <c r="F6" s="1"/>
    </row>
    <row r="7" spans="1:9" ht="18.75" x14ac:dyDescent="0.45">
      <c r="A7" s="6" t="s">
        <v>3</v>
      </c>
      <c r="B7" s="9">
        <f xml:space="preserve"> INT((D4-118.1)/354.3671)+1</f>
        <v>1437</v>
      </c>
      <c r="C7" s="9">
        <f xml:space="preserve"> INT(E7)+1</f>
        <v>4</v>
      </c>
      <c r="D7" s="9">
        <f xml:space="preserve"> INT((E7-C7+1)*29.5)+1</f>
        <v>22</v>
      </c>
      <c r="E7" s="1">
        <f xml:space="preserve"> ((D4-118.1)/354.3671+1-B7)*12</f>
        <v>3.7162953332872348</v>
      </c>
      <c r="F7" s="1"/>
    </row>
    <row r="8" spans="1:9" ht="18.75" x14ac:dyDescent="0.45">
      <c r="A8" s="6" t="s">
        <v>4</v>
      </c>
      <c r="B8" s="9">
        <f xml:space="preserve"> IF(F9&lt;14,F8,F8+1)</f>
        <v>2016</v>
      </c>
      <c r="C8" s="9">
        <f xml:space="preserve"> IF(F9&lt;14,F9-1,F9-13)</f>
        <v>2</v>
      </c>
      <c r="D8" s="9">
        <f xml:space="preserve"> E9-INT(365.25*F8)-INT(30.6*F9)</f>
        <v>1</v>
      </c>
      <c r="E8" s="1">
        <f xml:space="preserve"> INT((D4+227201.75)/36524.25)</f>
        <v>20</v>
      </c>
      <c r="F8" s="1">
        <f xml:space="preserve"> INT((E9-122.1)/365.25)</f>
        <v>2015</v>
      </c>
    </row>
    <row r="9" spans="1:9" ht="18.75" x14ac:dyDescent="0.45">
      <c r="A9" s="6" t="s">
        <v>9</v>
      </c>
      <c r="B9" s="9">
        <f xml:space="preserve"> D4+1948321</f>
        <v>2457420</v>
      </c>
      <c r="C9" s="7"/>
      <c r="D9" s="7"/>
      <c r="E9" s="1">
        <f xml:space="preserve"> IF(D4&lt;350840,D4+227326,D4+227324+E8-INT(E8/4))</f>
        <v>736438</v>
      </c>
      <c r="F9" s="1">
        <f xml:space="preserve"> INT((E9-INT(365.25*F8))/30.6)</f>
        <v>15</v>
      </c>
    </row>
    <row r="10" spans="1:9" hidden="1" x14ac:dyDescent="0.25">
      <c r="A10" s="7">
        <f>(D4-503224-B14/360)/36525</f>
        <v>0.16084459958932237</v>
      </c>
      <c r="B10" s="7">
        <f>A11-79.5341+0.76953*A10+0.0003*A10^2</f>
        <v>-49.004732278377617</v>
      </c>
      <c r="C10" s="7">
        <f>A11-2.47457-0.95056*A10-0.00016*A10^2</f>
        <v>27.778118633661585</v>
      </c>
      <c r="D10" s="7">
        <f>B10+(1.91466-0.0048*A10)*SIN(C11)+0.02*SIN(2*C11)-0.0057-0.0048*SIN(RADIANS(125.043-1934.1378*A10))</f>
        <v>-48.102479615883254</v>
      </c>
      <c r="E10" s="1">
        <f>ASIN(SIN(RADIANS(23.43928-0.01301*A10))*SIN(D11))</f>
        <v>-0.30056146883966589</v>
      </c>
      <c r="F10" s="1">
        <f>E11*SIN(2*B11)-0.0334*SIN(C11)+0.0668*E11*SIN(C11)*COS(2*B11)-SIN(4*B11)*E11^2/2-0.00035*SIN(2*C11)</f>
        <v>-5.8903609809156002E-2</v>
      </c>
    </row>
    <row r="11" spans="1:9" hidden="1" x14ac:dyDescent="0.25">
      <c r="A11" s="7">
        <f>360*(100*A10-INT(100*A10))</f>
        <v>30.405585215604845</v>
      </c>
      <c r="B11" s="7">
        <f>RADIANS(B10)</f>
        <v>-0.85529392731603182</v>
      </c>
      <c r="C11" s="7">
        <f>RADIANS(C10)</f>
        <v>0.48481963016698321</v>
      </c>
      <c r="D11" s="7">
        <f>RADIANS(D10)</f>
        <v>-0.83954664767062004</v>
      </c>
      <c r="E11" s="1">
        <f>TAN(RADIANS(23.43928-0.01301*A10)/2)^2</f>
        <v>4.302658513920421E-2</v>
      </c>
      <c r="F11" s="1">
        <f>DEGREES(F10)*4</f>
        <v>-13.499712960600142</v>
      </c>
    </row>
    <row r="12" spans="1:9" ht="18.75" x14ac:dyDescent="0.45">
      <c r="A12" s="17" t="s">
        <v>29</v>
      </c>
      <c r="B12" s="17"/>
      <c r="C12" s="17"/>
      <c r="D12" s="17"/>
    </row>
    <row r="13" spans="1:9" ht="18.75" x14ac:dyDescent="0.45">
      <c r="A13" s="10" t="s">
        <v>25</v>
      </c>
      <c r="B13" s="11" t="s">
        <v>30</v>
      </c>
      <c r="C13" s="11" t="s">
        <v>31</v>
      </c>
      <c r="D13" s="11" t="s">
        <v>26</v>
      </c>
    </row>
    <row r="14" spans="1:9" ht="16.5" customHeight="1" x14ac:dyDescent="0.25">
      <c r="A14" s="16" t="s">
        <v>37</v>
      </c>
      <c r="B14" s="15">
        <v>54.36</v>
      </c>
      <c r="C14" s="15">
        <v>31.89</v>
      </c>
      <c r="D14" s="15">
        <v>3.5</v>
      </c>
      <c r="E14" s="1" t="s">
        <v>14</v>
      </c>
      <c r="F14" s="1" t="s">
        <v>18</v>
      </c>
      <c r="I14" s="1"/>
    </row>
    <row r="15" spans="1:9" ht="18.75" x14ac:dyDescent="0.45">
      <c r="A15" s="17" t="s">
        <v>28</v>
      </c>
      <c r="B15" s="17"/>
      <c r="C15" s="17"/>
      <c r="D15" s="17"/>
      <c r="E15" s="1"/>
      <c r="F15" s="1"/>
    </row>
    <row r="16" spans="1:9" ht="18.75" x14ac:dyDescent="0.45">
      <c r="A16" s="6" t="s">
        <v>15</v>
      </c>
      <c r="B16" s="12">
        <f>B18-DEGREES(ACOS(F16))/360</f>
        <v>0.22560070680809091</v>
      </c>
      <c r="C16" s="13">
        <f>DEGREES(ASIN(SIN(ACOS(F16))*COS(E10)*1.0497))*SIGN(E10)-IF(E10&gt;0,180)</f>
        <v>-80.417449327516266</v>
      </c>
      <c r="D16" s="10" t="s">
        <v>20</v>
      </c>
      <c r="E16" s="1">
        <f>(-0.304-SIN(RADIANS(C14))*SIN(E10))/COS(E10)/COS(RADIANS(C14))</f>
        <v>-0.18199273466314719</v>
      </c>
      <c r="F16" s="1">
        <f>E16+TAN(E10)*TAN(RADIANS(C14))/TAN(D11)*(ACOS(E16)+F10)*0.9856/360</f>
        <v>-0.18118986579142143</v>
      </c>
    </row>
    <row r="17" spans="1:8" ht="18.75" x14ac:dyDescent="0.45">
      <c r="A17" s="6" t="s">
        <v>10</v>
      </c>
      <c r="B17" s="12">
        <f>B18-DEGREES(ACOS(F17))/360</f>
        <v>0.28279208446638393</v>
      </c>
      <c r="C17" s="13">
        <f>DEGREES(ASIN(SIN(ACOS(F17))*COS(E10)))*SIGN(E10)-IF(E10&gt;0,180)</f>
        <v>-70.088921984814036</v>
      </c>
      <c r="D17" s="10" t="s">
        <v>20</v>
      </c>
      <c r="E17" s="1">
        <f>(-0.014-SIN(RADIANS(C14))*SIN(E10))/COS(E10)/COS(RADIANS(C14))</f>
        <v>0.17559017821618647</v>
      </c>
      <c r="F17" s="1">
        <f>E17+TAN(E10)*TAN(RADIANS(C14))/TAN(D11)*(ACOS(E17)+F10)*0.9856/360</f>
        <v>0.1762227451229679</v>
      </c>
    </row>
    <row r="18" spans="1:8" ht="18.75" x14ac:dyDescent="0.45">
      <c r="A18" s="6" t="s">
        <v>16</v>
      </c>
      <c r="B18" s="12">
        <f>(12-B14/15-F11/60+D14)/24+0.00039</f>
        <v>0.50459813400041675</v>
      </c>
      <c r="C18" s="13">
        <f>90-C14+DEGREES(E10)</f>
        <v>40.889096351234343</v>
      </c>
      <c r="D18" s="10" t="s">
        <v>19</v>
      </c>
      <c r="E18" s="1">
        <f>F19-ASIN(SIN(F19)*TAN(E10)/TAN(RADIANS(C14)))</f>
        <v>0.94095857051962595</v>
      </c>
      <c r="F18" s="1">
        <f>E18+TAN(E18-F19)/TAN(D11)/COS(E10)^2*0.9856/360</f>
        <v>0.94012063285258551</v>
      </c>
    </row>
    <row r="19" spans="1:8" ht="18.75" x14ac:dyDescent="0.45">
      <c r="A19" s="6" t="s">
        <v>11</v>
      </c>
      <c r="B19" s="12">
        <f>B18+DEGREES(F18)/360</f>
        <v>0.65422297982158661</v>
      </c>
      <c r="C19" s="13">
        <f>DEGREES(ATAN(SIN(RADIANS(B14-39.83))/E19))+IF(E19&lt;0,180)</f>
        <v>54.598322715468079</v>
      </c>
      <c r="D19" s="10" t="s">
        <v>20</v>
      </c>
      <c r="E19" s="1">
        <f>COS(RADIANS(B14-39.83))*SIN(RADIANS(C14))-COS(RADIANS(C14))*TAN(RADIANS(21.42))</f>
        <v>0.17830708671487944</v>
      </c>
      <c r="F19" s="1">
        <f>ATAN(SIN(RADIANS(B14-39.83))*SIN(RADIANS(C14))/E19)+IF(E19&lt;0,PI())</f>
        <v>0.63921886650692361</v>
      </c>
    </row>
    <row r="20" spans="1:8" ht="18.75" x14ac:dyDescent="0.45">
      <c r="A20" s="6" t="s">
        <v>12</v>
      </c>
      <c r="B20" s="12">
        <f>B18+DEGREES(ACOS(F20))/360</f>
        <v>0.7266177342515372</v>
      </c>
      <c r="C20" s="13">
        <f>-DEGREES(ASIN(SIN(ACOS(F20))*COS(E10)))*SIGN(E10)+IF(E10&gt;0,180)</f>
        <v>70.12681131849186</v>
      </c>
      <c r="D20" s="10" t="s">
        <v>20</v>
      </c>
      <c r="E20" s="1">
        <f>(-0.014-SIN(RADIANS(C14))*SIN(E10))/COS(E10)/COS(RADIANS(C14))</f>
        <v>0.17559017821618647</v>
      </c>
      <c r="F20" s="1">
        <f>E20-TAN(E10)*TAN(RADIANS(C14))/TAN(D11)*(ACOS(E20)-F10)*0.9856/360</f>
        <v>0.17490180657171553</v>
      </c>
    </row>
    <row r="21" spans="1:8" ht="18.75" x14ac:dyDescent="0.45">
      <c r="A21" s="6" t="s">
        <v>17</v>
      </c>
      <c r="B21" s="12">
        <f>B18+DEGREES(ACOS(F21))/360</f>
        <v>0.73930381366922293</v>
      </c>
      <c r="C21" s="13">
        <f>-DEGREES(ASIN(SIN(ACOS(F21))*COS(E10)*1.0031))*SIGN(E10)+IF(E10&gt;0,180)</f>
        <v>72.498836490999409</v>
      </c>
      <c r="D21" s="10" t="s">
        <v>20</v>
      </c>
      <c r="E21" s="1">
        <f>(-0.078-SIN(RADIANS(C14))*SIN(E10))/COS(E10)/COS(RADIANS(C14))</f>
        <v>9.6675328477299052E-2</v>
      </c>
      <c r="F21" s="1">
        <f>E21-TAN(E10)*TAN(RADIANS(C14))/TAN(D11)*(ACOS(E21)-F10)*0.9856/360</f>
        <v>9.594921341205645E-2</v>
      </c>
    </row>
    <row r="22" spans="1:8" ht="18.75" x14ac:dyDescent="0.45">
      <c r="A22" s="6" t="s">
        <v>13</v>
      </c>
      <c r="B22" s="12">
        <f>(B16+B20+1)/2</f>
        <v>0.97610922052981408</v>
      </c>
      <c r="C22" s="7"/>
      <c r="D22" s="7"/>
      <c r="F22" s="1"/>
    </row>
    <row r="23" spans="1:8" x14ac:dyDescent="0.25">
      <c r="A23" s="20"/>
      <c r="B23" s="20"/>
      <c r="C23" s="20"/>
      <c r="D23" s="20"/>
      <c r="H23" s="2"/>
    </row>
    <row r="24" spans="1:8" ht="18.75" x14ac:dyDescent="0.45">
      <c r="A24" s="10" t="s">
        <v>22</v>
      </c>
      <c r="B24" s="10" t="s">
        <v>23</v>
      </c>
      <c r="C24" s="10" t="s">
        <v>24</v>
      </c>
      <c r="D24" s="10" t="s">
        <v>21</v>
      </c>
    </row>
    <row r="25" spans="1:8" x14ac:dyDescent="0.25">
      <c r="A25" s="5">
        <v>0.5</v>
      </c>
      <c r="B25" s="13">
        <f>DEGREES(ASIN(SIN(RADIANS(C14))*SIN(B26)+COS(RADIANS(C14))*COS(B26)*COS(A26)))</f>
        <v>40.864759200595053</v>
      </c>
      <c r="C25" s="13">
        <f>DEGREES(ATAN(SIN(A26)/C26))+IF(C26&lt;0,180)</f>
        <v>-2.0909092750702372</v>
      </c>
      <c r="D25" s="13">
        <f>C19-C25</f>
        <v>56.689231990538318</v>
      </c>
    </row>
    <row r="26" spans="1:8" hidden="1" x14ac:dyDescent="0.25">
      <c r="A26" s="4">
        <f>2*PI()*(A25-B18)</f>
        <v>-2.889092799186144E-2</v>
      </c>
      <c r="B26" s="4">
        <f>E10+TAN(E10)/TAN(D11)*(A26-F10)*0.9856/360</f>
        <v>-0.3005386195958728</v>
      </c>
      <c r="C26" s="4">
        <f>COS(A26)*SIN(RADIANS(C14))-COS(RADIANS(C14))*TAN(B26)</f>
        <v>0.79121710099522591</v>
      </c>
      <c r="D26" s="4"/>
    </row>
    <row r="27" spans="1:8" ht="18.75" x14ac:dyDescent="0.45">
      <c r="A27" s="17" t="s">
        <v>27</v>
      </c>
      <c r="B27" s="17"/>
      <c r="C27" s="17"/>
      <c r="D27" s="17"/>
    </row>
    <row r="28" spans="1:8" hidden="1" x14ac:dyDescent="0.25"/>
    <row r="29" spans="1:8" hidden="1" x14ac:dyDescent="0.25"/>
    <row r="30" spans="1:8" hidden="1" x14ac:dyDescent="0.25"/>
  </sheetData>
  <sheetProtection algorithmName="SHA-512" hashValue="20amKwqMVxpj/ZsZDBMGyNR3rHyrNVFacCt7w0/v1YAq/AHQKw0bBLP7NHBhIAuKz2R2u86cWjDCXLuIzzL7jQ==" saltValue="yL0ceBowRfGJC9mk+iVyaw==" spinCount="100000" sheet="1" objects="1" scenarios="1"/>
  <mergeCells count="6">
    <mergeCell ref="A27:D27"/>
    <mergeCell ref="C5:D5"/>
    <mergeCell ref="A5:B5"/>
    <mergeCell ref="A12:D12"/>
    <mergeCell ref="A23:D23"/>
    <mergeCell ref="A15:D15"/>
  </mergeCells>
  <pageMargins left="0.7" right="0.7" top="0.75" bottom="0.75" header="0.3" footer="0.3"/>
  <pageSetup orientation="portrait" horizontalDpi="300" verticalDpi="30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workbookViewId="0">
      <selection sqref="A1:G1"/>
    </sheetView>
  </sheetViews>
  <sheetFormatPr defaultRowHeight="15" x14ac:dyDescent="0.25"/>
  <sheetData>
    <row r="1" spans="1:7" ht="25.5" customHeight="1" x14ac:dyDescent="0.25">
      <c r="A1" s="22" t="s">
        <v>32</v>
      </c>
      <c r="B1" s="22"/>
      <c r="C1" s="22"/>
      <c r="D1" s="22"/>
      <c r="E1" s="22"/>
      <c r="F1" s="22"/>
      <c r="G1" s="22"/>
    </row>
    <row r="2" spans="1:7" ht="19.5" customHeight="1" x14ac:dyDescent="0.25">
      <c r="A2" s="23" t="s">
        <v>38</v>
      </c>
      <c r="B2" s="23"/>
      <c r="C2" s="23"/>
      <c r="D2" s="23"/>
      <c r="E2" s="23"/>
      <c r="F2" s="23"/>
      <c r="G2" s="23"/>
    </row>
    <row r="3" spans="1:7" ht="17.25" customHeight="1" x14ac:dyDescent="0.25">
      <c r="A3" s="23"/>
      <c r="B3" s="23"/>
      <c r="C3" s="23"/>
      <c r="D3" s="23"/>
      <c r="E3" s="23"/>
      <c r="F3" s="23"/>
      <c r="G3" s="23"/>
    </row>
    <row r="4" spans="1:7" ht="56.25" customHeight="1" x14ac:dyDescent="0.25">
      <c r="A4" s="21" t="s">
        <v>33</v>
      </c>
      <c r="B4" s="21"/>
      <c r="C4" s="21"/>
      <c r="D4" s="21"/>
      <c r="E4" s="21"/>
      <c r="F4" s="21"/>
      <c r="G4" s="21"/>
    </row>
    <row r="5" spans="1:7" ht="96" customHeight="1" x14ac:dyDescent="0.25">
      <c r="A5" s="21" t="s">
        <v>34</v>
      </c>
      <c r="B5" s="21"/>
      <c r="C5" s="21"/>
      <c r="D5" s="21"/>
      <c r="E5" s="21"/>
      <c r="F5" s="21"/>
      <c r="G5" s="21"/>
    </row>
    <row r="6" spans="1:7" ht="129.75" customHeight="1" x14ac:dyDescent="0.25">
      <c r="A6" s="21" t="s">
        <v>36</v>
      </c>
      <c r="B6" s="21"/>
      <c r="C6" s="21"/>
      <c r="D6" s="21"/>
      <c r="E6" s="21"/>
      <c r="F6" s="21"/>
      <c r="G6" s="21"/>
    </row>
    <row r="7" spans="1:7" ht="52.5" customHeight="1" x14ac:dyDescent="0.25">
      <c r="A7" s="21" t="s">
        <v>35</v>
      </c>
      <c r="B7" s="21"/>
      <c r="C7" s="21"/>
      <c r="D7" s="21"/>
      <c r="E7" s="21"/>
      <c r="F7" s="21"/>
      <c r="G7" s="21"/>
    </row>
    <row r="8" spans="1:7" ht="22.5" customHeight="1" x14ac:dyDescent="0.25">
      <c r="A8" s="24" t="s">
        <v>39</v>
      </c>
      <c r="B8" s="24"/>
      <c r="C8" s="24"/>
      <c r="D8" s="24"/>
      <c r="E8" s="24"/>
      <c r="F8" s="24"/>
      <c r="G8" s="24"/>
    </row>
    <row r="9" spans="1:7" x14ac:dyDescent="0.25">
      <c r="A9" s="14"/>
      <c r="B9" s="14"/>
      <c r="C9" s="14"/>
      <c r="D9" s="14"/>
      <c r="E9" s="14"/>
    </row>
    <row r="10" spans="1:7" x14ac:dyDescent="0.25">
      <c r="A10" s="14"/>
      <c r="B10" s="14"/>
      <c r="C10" s="14"/>
      <c r="D10" s="14"/>
      <c r="E10" s="14"/>
    </row>
    <row r="11" spans="1:7" x14ac:dyDescent="0.25">
      <c r="A11" s="14"/>
      <c r="B11" s="14"/>
      <c r="C11" s="14"/>
      <c r="D11" s="14"/>
      <c r="E11" s="14"/>
    </row>
    <row r="12" spans="1:7" x14ac:dyDescent="0.25">
      <c r="A12" s="14"/>
      <c r="B12" s="14"/>
      <c r="C12" s="14"/>
      <c r="D12" s="14"/>
      <c r="E12" s="14"/>
    </row>
    <row r="13" spans="1:7" x14ac:dyDescent="0.25">
      <c r="A13" s="14"/>
      <c r="B13" s="14"/>
      <c r="C13" s="14"/>
      <c r="D13" s="14"/>
      <c r="E13" s="14"/>
    </row>
    <row r="14" spans="1:7" x14ac:dyDescent="0.25">
      <c r="A14" s="14"/>
      <c r="B14" s="14"/>
      <c r="C14" s="14"/>
      <c r="D14" s="14"/>
      <c r="E14" s="14"/>
    </row>
    <row r="15" spans="1:7" x14ac:dyDescent="0.25">
      <c r="A15" s="14"/>
      <c r="B15" s="14"/>
      <c r="C15" s="14"/>
      <c r="D15" s="14"/>
      <c r="E15" s="14"/>
    </row>
    <row r="16" spans="1:7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</sheetData>
  <sheetProtection algorithmName="SHA-512" hashValue="0Qtagn0vODfwopd6MelSM2iX7W0yCfXWQMvRL8tvCALTbc4UCxyq06dd4dpnIFVrnlUfvUJSC5YX9UGzqN/mBg==" saltValue="NsnlTLOJdzyGelXRnWqagA==" spinCount="100000" sheet="1" objects="1" scenarios="1"/>
  <mergeCells count="7">
    <mergeCell ref="A8:G8"/>
    <mergeCell ref="A7:G7"/>
    <mergeCell ref="A1:G1"/>
    <mergeCell ref="A4:G4"/>
    <mergeCell ref="A2:G3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راهنما</vt:lpstr>
    </vt:vector>
  </TitlesOfParts>
  <Company>PARANDCO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PARAND</dc:creator>
  <cp:lastModifiedBy>Admin</cp:lastModifiedBy>
  <dcterms:created xsi:type="dcterms:W3CDTF">2014-09-05T17:01:14Z</dcterms:created>
  <dcterms:modified xsi:type="dcterms:W3CDTF">2016-02-06T13:57:19Z</dcterms:modified>
</cp:coreProperties>
</file>