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vil 99-01-23\Excel 990123\Final 990123\"/>
    </mc:Choice>
  </mc:AlternateContent>
  <xr:revisionPtr revIDLastSave="0" documentId="13_ncr:1_{EB02ED59-7695-4034-906A-FEE08A036746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CI318M-14" sheetId="1" r:id="rId1"/>
    <sheet name="ACI318M-19" sheetId="2" r:id="rId2"/>
  </sheets>
  <definedNames>
    <definedName name="_xlnm.Print_Area" localSheetId="0">'ACI318M-14'!$A$1:$Q$36</definedName>
    <definedName name="_xlnm.Print_Area" localSheetId="1">'ACI318M-19'!$A$1:$Q$36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2" l="1"/>
  <c r="G22" i="2"/>
  <c r="K18" i="2"/>
  <c r="G18" i="2"/>
  <c r="K20" i="1"/>
  <c r="G20" i="1"/>
  <c r="K16" i="1"/>
  <c r="G16" i="1"/>
  <c r="AF11" i="2" l="1"/>
  <c r="AF10" i="2"/>
  <c r="AF9" i="2"/>
  <c r="AF8" i="2"/>
  <c r="AF7" i="2"/>
  <c r="AF6" i="2"/>
  <c r="AF5" i="2"/>
  <c r="AF4" i="2"/>
  <c r="AI11" i="2"/>
  <c r="AJ11" i="2" s="1"/>
  <c r="AI10" i="2"/>
  <c r="AJ10" i="2" s="1"/>
  <c r="AI9" i="2"/>
  <c r="AJ9" i="2" s="1"/>
  <c r="AI8" i="2"/>
  <c r="AJ8" i="2" s="1"/>
  <c r="AI7" i="2"/>
  <c r="AJ7" i="2" s="1"/>
  <c r="AI6" i="2"/>
  <c r="AJ6" i="2" s="1"/>
  <c r="AI5" i="2"/>
  <c r="AJ5" i="2" s="1"/>
  <c r="AI4" i="2"/>
  <c r="D27" i="2"/>
  <c r="D28" i="2"/>
  <c r="AJ4" i="2" l="1"/>
  <c r="D30" i="2"/>
  <c r="D28" i="1"/>
  <c r="AL11" i="2" l="1"/>
  <c r="AL10" i="2"/>
  <c r="AL9" i="2"/>
  <c r="AM9" i="2" s="1"/>
  <c r="AL8" i="2"/>
  <c r="AM8" i="2" s="1"/>
  <c r="AL7" i="2"/>
  <c r="AM7" i="2" s="1"/>
  <c r="AL6" i="2"/>
  <c r="AM6" i="2" s="1"/>
  <c r="AL5" i="2"/>
  <c r="AL4" i="2"/>
  <c r="AG11" i="2"/>
  <c r="AG9" i="2"/>
  <c r="AG8" i="2"/>
  <c r="AG7" i="2" l="1"/>
  <c r="AG6" i="2"/>
  <c r="D32" i="2" l="1"/>
  <c r="D29" i="2"/>
  <c r="AM4" i="2" l="1"/>
  <c r="AM11" i="2"/>
  <c r="AG4" i="2"/>
  <c r="AM10" i="2"/>
  <c r="AM5" i="2"/>
  <c r="AG5" i="2"/>
  <c r="AG10" i="2"/>
  <c r="L22" i="2"/>
  <c r="H18" i="2"/>
  <c r="L18" i="2"/>
  <c r="H22" i="2"/>
  <c r="D26" i="1"/>
  <c r="D33" i="2" l="1"/>
  <c r="D31" i="2"/>
  <c r="D30" i="1"/>
  <c r="D31" i="1" s="1"/>
  <c r="D25" i="1"/>
  <c r="D27" i="1" s="1"/>
  <c r="D34" i="2" l="1"/>
  <c r="E34" i="2" s="1"/>
  <c r="H20" i="1"/>
  <c r="L16" i="1"/>
  <c r="H16" i="1"/>
  <c r="L20" i="1"/>
  <c r="D29" i="1" l="1"/>
  <c r="D32" i="1" s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U01</author>
  </authors>
  <commentList>
    <comment ref="D14" authorId="0" shapeId="0" xr:uid="{00000000-0006-0000-0000-000001000000}">
      <text>
        <r>
          <rPr>
            <sz val="9"/>
            <color indexed="81"/>
            <rFont val="Tahoma"/>
            <family val="2"/>
          </rPr>
          <t>The Smaller Prependicular Distance From Beam Side to Column Side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U01</author>
  </authors>
  <commentList>
    <comment ref="D16" authorId="0" shapeId="0" xr:uid="{00000000-0006-0000-0100-000001000000}">
      <text>
        <r>
          <rPr>
            <sz val="9"/>
            <color indexed="81"/>
            <rFont val="Tahoma"/>
            <family val="2"/>
          </rPr>
          <t>The Smaller Prependicular Distance From Beam Side to Column Side</t>
        </r>
      </text>
    </comment>
  </commentList>
</comments>
</file>

<file path=xl/sharedStrings.xml><?xml version="1.0" encoding="utf-8"?>
<sst xmlns="http://schemas.openxmlformats.org/spreadsheetml/2006/main" count="138" uniqueCount="49">
  <si>
    <r>
      <t xml:space="preserve">f </t>
    </r>
    <r>
      <rPr>
        <b/>
        <vertAlign val="subscript"/>
        <sz val="11"/>
        <rFont val="Calibri"/>
        <family val="2"/>
        <scheme val="minor"/>
      </rPr>
      <t>c</t>
    </r>
    <r>
      <rPr>
        <b/>
        <sz val="11"/>
        <rFont val="Calibri"/>
        <family val="2"/>
        <scheme val="minor"/>
      </rPr>
      <t xml:space="preserve"> =</t>
    </r>
  </si>
  <si>
    <t>Output Data</t>
  </si>
  <si>
    <t>Intput Data</t>
  </si>
  <si>
    <t>Joint</t>
  </si>
  <si>
    <r>
      <t xml:space="preserve">A </t>
    </r>
    <r>
      <rPr>
        <b/>
        <vertAlign val="subscript"/>
        <sz val="11"/>
        <rFont val="Calibri"/>
        <family val="2"/>
        <scheme val="minor"/>
      </rPr>
      <t>s</t>
    </r>
    <r>
      <rPr>
        <b/>
        <sz val="11"/>
        <rFont val="Calibri"/>
        <family val="2"/>
        <scheme val="minor"/>
      </rPr>
      <t xml:space="preserve"> =</t>
    </r>
  </si>
  <si>
    <r>
      <t>cm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</si>
  <si>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Beam 2</t>
  </si>
  <si>
    <t>Beam 1</t>
  </si>
  <si>
    <t>Column 1</t>
  </si>
  <si>
    <t>Column 2</t>
  </si>
  <si>
    <t>Elevation View</t>
  </si>
  <si>
    <t>Frame Type</t>
  </si>
  <si>
    <t>Special</t>
  </si>
  <si>
    <t>cm</t>
  </si>
  <si>
    <r>
      <t xml:space="preserve">f </t>
    </r>
    <r>
      <rPr>
        <b/>
        <vertAlign val="subscript"/>
        <sz val="11"/>
        <rFont val="Calibri"/>
        <family val="2"/>
        <scheme val="minor"/>
      </rPr>
      <t>y</t>
    </r>
    <r>
      <rPr>
        <b/>
        <sz val="11"/>
        <rFont val="Calibri"/>
        <family val="2"/>
        <scheme val="minor"/>
      </rPr>
      <t xml:space="preserve"> =</t>
    </r>
  </si>
  <si>
    <r>
      <t xml:space="preserve">L </t>
    </r>
    <r>
      <rPr>
        <b/>
        <vertAlign val="subscript"/>
        <sz val="11"/>
        <color theme="1"/>
        <rFont val="Calibri"/>
        <family val="2"/>
        <scheme val="minor"/>
      </rPr>
      <t>Col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</si>
  <si>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L </t>
    </r>
    <r>
      <rPr>
        <b/>
        <vertAlign val="subscript"/>
        <sz val="11"/>
        <color theme="1"/>
        <rFont val="Calibri"/>
        <family val="2"/>
        <scheme val="minor"/>
      </rPr>
      <t>Col 2</t>
    </r>
    <r>
      <rPr>
        <b/>
        <sz val="11"/>
        <color theme="1"/>
        <rFont val="Calibri"/>
        <family val="2"/>
        <scheme val="minor"/>
      </rPr>
      <t xml:space="preserve"> =</t>
    </r>
  </si>
  <si>
    <t>ꭤ =</t>
  </si>
  <si>
    <t>Joint Confinement</t>
  </si>
  <si>
    <r>
      <rPr>
        <b/>
        <sz val="11"/>
        <color theme="1"/>
        <rFont val="Cambria"/>
        <family val="1"/>
      </rPr>
      <t xml:space="preserve">V </t>
    </r>
    <r>
      <rPr>
        <b/>
        <vertAlign val="subscript"/>
        <sz val="11"/>
        <color theme="1"/>
        <rFont val="Cambria"/>
        <family val="1"/>
      </rPr>
      <t>1</t>
    </r>
    <r>
      <rPr>
        <b/>
        <sz val="11"/>
        <color theme="1"/>
        <rFont val="Calibri"/>
        <family val="2"/>
      </rPr>
      <t xml:space="preserve"> =</t>
    </r>
  </si>
  <si>
    <t>Joint Shear Capacity ratio</t>
  </si>
  <si>
    <r>
      <rPr>
        <b/>
        <sz val="11"/>
        <color theme="1"/>
        <rFont val="Cambria"/>
        <family val="1"/>
      </rPr>
      <t xml:space="preserve">V </t>
    </r>
    <r>
      <rPr>
        <b/>
        <vertAlign val="subscript"/>
        <sz val="11"/>
        <color theme="1"/>
        <rFont val="Cambria"/>
        <family val="1"/>
      </rPr>
      <t>C</t>
    </r>
    <r>
      <rPr>
        <b/>
        <sz val="11"/>
        <color theme="1"/>
        <rFont val="Calibri"/>
        <family val="2"/>
      </rPr>
      <t xml:space="preserve"> =</t>
    </r>
  </si>
  <si>
    <r>
      <rPr>
        <b/>
        <sz val="11"/>
        <color theme="1"/>
        <rFont val="Cambria"/>
        <family val="1"/>
      </rPr>
      <t xml:space="preserve">V </t>
    </r>
    <r>
      <rPr>
        <b/>
        <vertAlign val="subscript"/>
        <sz val="11"/>
        <color theme="1"/>
        <rFont val="Cambria"/>
        <family val="1"/>
      </rPr>
      <t>u</t>
    </r>
    <r>
      <rPr>
        <b/>
        <sz val="11"/>
        <color theme="1"/>
        <rFont val="Calibri"/>
        <family val="2"/>
      </rPr>
      <t xml:space="preserve"> =</t>
    </r>
  </si>
  <si>
    <t>x =</t>
  </si>
  <si>
    <r>
      <t xml:space="preserve">A </t>
    </r>
    <r>
      <rPr>
        <b/>
        <vertAlign val="subscript"/>
        <sz val="11"/>
        <rFont val="Calibri"/>
        <family val="2"/>
        <scheme val="minor"/>
      </rPr>
      <t>Joint</t>
    </r>
    <r>
      <rPr>
        <b/>
        <sz val="11"/>
        <rFont val="Calibri"/>
        <family val="2"/>
        <scheme val="minor"/>
      </rPr>
      <t xml:space="preserve"> =</t>
    </r>
  </si>
  <si>
    <t>Ratio =</t>
  </si>
  <si>
    <r>
      <t xml:space="preserve">b </t>
    </r>
    <r>
      <rPr>
        <b/>
        <vertAlign val="subscript"/>
        <sz val="11"/>
        <color theme="1"/>
        <rFont val="Calibri"/>
        <family val="2"/>
        <scheme val="minor"/>
      </rPr>
      <t>Column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</si>
  <si>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h </t>
    </r>
    <r>
      <rPr>
        <b/>
        <vertAlign val="subscript"/>
        <sz val="11"/>
        <color theme="1"/>
        <rFont val="Calibri"/>
        <family val="2"/>
        <scheme val="minor"/>
      </rPr>
      <t>Column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</si>
  <si>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b </t>
    </r>
    <r>
      <rPr>
        <b/>
        <vertAlign val="subscript"/>
        <sz val="11"/>
        <color theme="1"/>
        <rFont val="Calibri"/>
        <family val="2"/>
        <scheme val="minor"/>
      </rPr>
      <t>Beam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</si>
  <si>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h </t>
    </r>
    <r>
      <rPr>
        <b/>
        <vertAlign val="subscript"/>
        <sz val="11"/>
        <color theme="1"/>
        <rFont val="Calibri"/>
        <family val="2"/>
        <scheme val="minor"/>
      </rPr>
      <t>Beam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</si>
  <si>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d </t>
    </r>
    <r>
      <rPr>
        <b/>
        <vertAlign val="subscript"/>
        <sz val="11"/>
        <color theme="1"/>
        <rFont val="Calibri"/>
        <family val="2"/>
        <scheme val="minor"/>
      </rPr>
      <t>Beam 1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</si>
  <si>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b </t>
    </r>
    <r>
      <rPr>
        <b/>
        <vertAlign val="subscript"/>
        <sz val="11"/>
        <color theme="1"/>
        <rFont val="Calibri"/>
        <family val="2"/>
        <scheme val="minor"/>
      </rPr>
      <t>Beam 2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</si>
  <si>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h </t>
    </r>
    <r>
      <rPr>
        <b/>
        <vertAlign val="subscript"/>
        <sz val="11"/>
        <color theme="1"/>
        <rFont val="Calibri"/>
        <family val="2"/>
        <scheme val="minor"/>
      </rPr>
      <t>Beam 2</t>
    </r>
    <r>
      <rPr>
        <b/>
        <sz val="11"/>
        <color theme="1"/>
        <rFont val="Calibri"/>
        <family val="2"/>
        <scheme val="minor"/>
      </rPr>
      <t xml:space="preserve"> =</t>
    </r>
  </si>
  <si>
    <r>
      <t xml:space="preserve">d </t>
    </r>
    <r>
      <rPr>
        <b/>
        <vertAlign val="subscript"/>
        <sz val="11"/>
        <color theme="1"/>
        <rFont val="Calibri"/>
        <family val="2"/>
        <scheme val="minor"/>
      </rPr>
      <t>Beam 2</t>
    </r>
    <r>
      <rPr>
        <b/>
        <sz val="11"/>
        <color theme="1"/>
        <rFont val="Calibri"/>
        <family val="2"/>
        <scheme val="minor"/>
      </rPr>
      <t xml:space="preserve"> =</t>
    </r>
  </si>
  <si>
    <t>tonf</t>
  </si>
  <si>
    <r>
      <t>φV</t>
    </r>
    <r>
      <rPr>
        <b/>
        <vertAlign val="subscript"/>
        <sz val="11"/>
        <rFont val="Calibri"/>
        <family val="2"/>
      </rPr>
      <t>n</t>
    </r>
    <r>
      <rPr>
        <b/>
        <sz val="11"/>
        <rFont val="Calibri"/>
        <family val="2"/>
      </rPr>
      <t xml:space="preserve"> =</t>
    </r>
  </si>
  <si>
    <r>
      <t>φ</t>
    </r>
    <r>
      <rPr>
        <b/>
        <sz val="11"/>
        <rFont val="Calibri"/>
        <family val="2"/>
      </rPr>
      <t xml:space="preserve"> =</t>
    </r>
  </si>
  <si>
    <r>
      <t>kgf/cm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</si>
  <si>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tonf.cm</t>
  </si>
  <si>
    <t>Intermediate</t>
  </si>
  <si>
    <t>Column is</t>
  </si>
  <si>
    <t>Continuous</t>
  </si>
  <si>
    <t>Beam 1 &amp; 2 are</t>
  </si>
  <si>
    <t>Joint Confinement by Transverse Beams</t>
  </si>
  <si>
    <t>Joint Condition</t>
  </si>
  <si>
    <t>Confined by Beams on Three Faces or on Two Opposite Faces</t>
  </si>
  <si>
    <t>Confined</t>
  </si>
  <si>
    <t>Ordinary</t>
  </si>
  <si>
    <t>www.omid-negar.com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</si>
</sst>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8"/>
      <color theme="1"/>
      <name val="Cambria"/>
      <family val="1"/>
      <scheme val="major"/>
    </font>
    <font>
      <b/>
      <vertAlign val="subscript"/>
      <sz val="11"/>
      <color theme="1"/>
      <name val="Cambria"/>
      <family val="1"/>
    </font>
    <font>
      <b/>
      <i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vertical="center" textRotation="180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4" xfId="0" applyFont="1" applyBorder="1" applyAlignment="1">
      <alignment vertical="center"/>
    </xf>
    <xf numFmtId="0" fontId="0" fillId="0" borderId="5" xfId="0" applyFill="1" applyBorder="1"/>
    <xf numFmtId="0" fontId="1" fillId="0" borderId="5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vertical="center" textRotation="180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Border="1"/>
    <xf numFmtId="0" fontId="18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180"/>
    </xf>
    <xf numFmtId="0" fontId="7" fillId="5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24</xdr:col>
      <xdr:colOff>213360</xdr:colOff>
      <xdr:row>14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373380"/>
          <a:ext cx="4480560" cy="248412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24</xdr:col>
      <xdr:colOff>175260</xdr:colOff>
      <xdr:row>48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3093720"/>
          <a:ext cx="4442460" cy="6240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8</xdr:col>
      <xdr:colOff>510540</xdr:colOff>
      <xdr:row>48</xdr:row>
      <xdr:rowOff>53340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7155180"/>
          <a:ext cx="4823460" cy="206502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16</xdr:col>
      <xdr:colOff>502920</xdr:colOff>
      <xdr:row>48</xdr:row>
      <xdr:rowOff>99060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160" y="7155180"/>
          <a:ext cx="4160520" cy="211074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24</xdr:col>
      <xdr:colOff>510540</xdr:colOff>
      <xdr:row>20</xdr:row>
      <xdr:rowOff>198120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90500"/>
          <a:ext cx="4777740" cy="386334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24</xdr:col>
      <xdr:colOff>472440</xdr:colOff>
      <xdr:row>55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4259580"/>
          <a:ext cx="4739640" cy="6240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mid-nega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mid-negar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showGridLines="0" zoomScaleNormal="100" workbookViewId="0">
      <selection activeCell="M9" sqref="M9"/>
    </sheetView>
  </sheetViews>
  <sheetFormatPr defaultRowHeight="14.4" x14ac:dyDescent="0.3"/>
  <cols>
    <col min="1" max="1" width="4.6640625" customWidth="1"/>
    <col min="5" max="5" width="9.5546875" bestFit="1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x14ac:dyDescent="0.3">
      <c r="A2" s="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9" ht="15" customHeight="1" x14ac:dyDescent="0.3">
      <c r="A3" s="1"/>
      <c r="B3" s="25"/>
      <c r="C3" s="1"/>
      <c r="D3" s="1"/>
      <c r="E3" s="1"/>
      <c r="F3" s="57" t="s">
        <v>20</v>
      </c>
      <c r="G3" s="57"/>
      <c r="H3" s="57"/>
      <c r="I3" s="57"/>
      <c r="J3" s="57"/>
      <c r="K3" s="1"/>
      <c r="L3" s="64" t="s">
        <v>48</v>
      </c>
      <c r="M3" s="64"/>
      <c r="N3" s="64"/>
      <c r="O3" s="1"/>
      <c r="P3" s="26"/>
      <c r="Q3" s="1"/>
      <c r="R3" s="1"/>
    </row>
    <row r="4" spans="1:19" ht="15" customHeight="1" x14ac:dyDescent="0.3">
      <c r="A4" s="1"/>
      <c r="B4" s="31"/>
      <c r="C4" s="16"/>
      <c r="D4" s="16"/>
      <c r="E4" s="16"/>
      <c r="F4" s="57"/>
      <c r="G4" s="57"/>
      <c r="H4" s="57"/>
      <c r="I4" s="57"/>
      <c r="J4" s="57"/>
      <c r="K4" s="16"/>
      <c r="L4" s="16"/>
      <c r="M4" s="16"/>
      <c r="N4" s="16"/>
      <c r="O4" s="1"/>
      <c r="P4" s="26"/>
      <c r="Q4" s="1"/>
      <c r="R4" s="1"/>
    </row>
    <row r="5" spans="1:19" ht="15" customHeight="1" x14ac:dyDescent="0.3">
      <c r="A5" s="1"/>
      <c r="B5" s="31"/>
      <c r="C5" s="16"/>
      <c r="D5" s="16"/>
      <c r="E5" s="16"/>
      <c r="F5" s="1"/>
      <c r="G5" s="1"/>
      <c r="H5" s="1"/>
      <c r="I5" s="1"/>
      <c r="J5" s="1"/>
      <c r="K5" s="16"/>
      <c r="L5" s="16"/>
      <c r="M5" s="16"/>
      <c r="N5" s="16"/>
      <c r="O5" s="1"/>
      <c r="P5" s="26"/>
      <c r="Q5" s="1"/>
      <c r="R5" s="1"/>
    </row>
    <row r="6" spans="1:19" ht="18" customHeight="1" x14ac:dyDescent="0.3">
      <c r="A6" s="1"/>
      <c r="B6" s="25"/>
      <c r="C6" s="54" t="s">
        <v>2</v>
      </c>
      <c r="D6" s="54"/>
      <c r="E6" s="54"/>
      <c r="F6" s="7"/>
      <c r="G6" s="1"/>
      <c r="H6" s="1"/>
      <c r="I6" s="7"/>
      <c r="J6" s="7"/>
      <c r="K6" s="7"/>
      <c r="L6" s="7"/>
      <c r="M6" s="1"/>
      <c r="N6" s="4"/>
      <c r="O6" s="4"/>
      <c r="P6" s="32"/>
    </row>
    <row r="7" spans="1:19" x14ac:dyDescent="0.3">
      <c r="A7" s="1"/>
      <c r="B7" s="25"/>
      <c r="C7" s="1"/>
      <c r="D7" s="1"/>
      <c r="E7" s="1"/>
      <c r="F7" s="1"/>
      <c r="G7" s="1"/>
      <c r="H7" s="1"/>
      <c r="I7" s="1"/>
      <c r="J7" s="1"/>
      <c r="K7" s="12"/>
      <c r="L7" s="4"/>
      <c r="M7" s="1"/>
      <c r="N7" s="4"/>
      <c r="O7" s="4"/>
      <c r="P7" s="32"/>
    </row>
    <row r="8" spans="1:19" x14ac:dyDescent="0.3">
      <c r="A8" s="1"/>
      <c r="B8" s="25"/>
      <c r="C8" s="55" t="s">
        <v>11</v>
      </c>
      <c r="D8" s="55"/>
      <c r="E8" s="56" t="s">
        <v>12</v>
      </c>
      <c r="F8" s="56"/>
      <c r="G8" s="1"/>
      <c r="H8" s="1"/>
      <c r="I8" s="1"/>
      <c r="J8" s="1"/>
      <c r="K8" s="11"/>
      <c r="L8" s="4"/>
      <c r="M8" s="1"/>
      <c r="N8" s="4"/>
      <c r="O8" s="4"/>
      <c r="P8" s="32"/>
      <c r="Q8" s="1"/>
      <c r="R8" s="1"/>
      <c r="S8" s="1"/>
    </row>
    <row r="9" spans="1:19" x14ac:dyDescent="0.3">
      <c r="A9" s="1"/>
      <c r="B9" s="25"/>
      <c r="C9" s="55" t="s">
        <v>18</v>
      </c>
      <c r="D9" s="55"/>
      <c r="E9" s="56" t="s">
        <v>45</v>
      </c>
      <c r="F9" s="56"/>
      <c r="G9" s="56"/>
      <c r="H9" s="56"/>
      <c r="I9" s="56"/>
      <c r="J9" s="56"/>
      <c r="K9" s="1"/>
      <c r="L9" s="1"/>
      <c r="M9" s="1"/>
      <c r="N9" s="1"/>
      <c r="O9" s="4"/>
      <c r="P9" s="33"/>
      <c r="Q9" s="1"/>
      <c r="R9" s="1"/>
      <c r="S9" s="1"/>
    </row>
    <row r="10" spans="1:19" ht="16.2" x14ac:dyDescent="0.3">
      <c r="A10" s="1"/>
      <c r="B10" s="25"/>
      <c r="C10" s="9" t="s">
        <v>14</v>
      </c>
      <c r="D10" s="35">
        <v>4000</v>
      </c>
      <c r="E10" s="34" t="s">
        <v>37</v>
      </c>
      <c r="F10" s="1"/>
      <c r="G10" s="1"/>
      <c r="H10" s="1"/>
      <c r="I10" s="1"/>
      <c r="J10" s="1"/>
      <c r="K10" s="1"/>
      <c r="L10" s="1"/>
      <c r="M10" s="1"/>
      <c r="N10" s="1"/>
      <c r="O10" s="6"/>
      <c r="P10" s="32"/>
      <c r="Q10" s="1"/>
      <c r="R10" s="1"/>
      <c r="S10" s="1"/>
    </row>
    <row r="11" spans="1:19" ht="14.4" customHeight="1" x14ac:dyDescent="0.3">
      <c r="A11" s="1"/>
      <c r="B11" s="25"/>
      <c r="C11" s="9" t="s">
        <v>0</v>
      </c>
      <c r="D11" s="35">
        <v>300</v>
      </c>
      <c r="E11" s="34" t="s">
        <v>37</v>
      </c>
      <c r="F11" s="1"/>
      <c r="G11" s="1"/>
      <c r="H11" s="1"/>
      <c r="I11" s="1"/>
      <c r="J11" s="61" t="s">
        <v>9</v>
      </c>
      <c r="K11" s="1"/>
      <c r="L11" s="1"/>
      <c r="M11" s="1"/>
      <c r="N11" s="1"/>
      <c r="O11" s="1"/>
      <c r="P11" s="26"/>
      <c r="Q11" s="1"/>
      <c r="R11" s="1"/>
    </row>
    <row r="12" spans="1:19" ht="15.6" x14ac:dyDescent="0.3">
      <c r="A12" s="1"/>
      <c r="B12" s="25"/>
      <c r="C12" s="34" t="s">
        <v>15</v>
      </c>
      <c r="D12" s="35">
        <v>304</v>
      </c>
      <c r="E12" s="34" t="s">
        <v>13</v>
      </c>
      <c r="F12" s="1"/>
      <c r="G12" s="1"/>
      <c r="H12" s="1"/>
      <c r="I12" s="1"/>
      <c r="J12" s="61"/>
      <c r="K12" s="1"/>
      <c r="L12" s="1"/>
      <c r="M12" s="1"/>
      <c r="N12" s="1"/>
      <c r="O12" s="1"/>
      <c r="P12" s="26"/>
      <c r="Q12" s="1"/>
      <c r="R12" s="1"/>
    </row>
    <row r="13" spans="1:19" ht="15.6" x14ac:dyDescent="0.3">
      <c r="A13" s="1"/>
      <c r="B13" s="25"/>
      <c r="C13" s="34" t="s">
        <v>16</v>
      </c>
      <c r="D13" s="35">
        <v>0</v>
      </c>
      <c r="E13" s="34" t="s">
        <v>13</v>
      </c>
      <c r="F13" s="1"/>
      <c r="G13" s="1"/>
      <c r="H13" s="1"/>
      <c r="I13" s="1"/>
      <c r="J13" s="61"/>
      <c r="K13" s="1"/>
      <c r="L13" s="1"/>
      <c r="M13" s="1"/>
      <c r="N13" s="1"/>
      <c r="O13" s="1"/>
      <c r="P13" s="26"/>
      <c r="Q13" s="1"/>
      <c r="R13" s="1"/>
    </row>
    <row r="14" spans="1:19" x14ac:dyDescent="0.3">
      <c r="A14" s="1"/>
      <c r="B14" s="25"/>
      <c r="C14" s="8" t="s">
        <v>23</v>
      </c>
      <c r="D14" s="35">
        <v>0</v>
      </c>
      <c r="E14" s="34" t="s">
        <v>13</v>
      </c>
      <c r="F14" s="17"/>
      <c r="G14" s="1"/>
      <c r="H14" s="1"/>
      <c r="I14" s="5"/>
      <c r="J14" s="61"/>
      <c r="K14" s="15"/>
      <c r="L14" s="4"/>
      <c r="M14" s="4"/>
      <c r="N14" s="1"/>
      <c r="O14" s="1"/>
      <c r="P14" s="26"/>
      <c r="Q14" s="1"/>
      <c r="R14" s="1"/>
    </row>
    <row r="15" spans="1:19" ht="16.2" x14ac:dyDescent="0.3">
      <c r="A15" s="1"/>
      <c r="B15" s="25"/>
      <c r="C15" s="20" t="s">
        <v>26</v>
      </c>
      <c r="D15" s="35">
        <v>40</v>
      </c>
      <c r="E15" s="2" t="s">
        <v>13</v>
      </c>
      <c r="F15" s="1"/>
      <c r="G15" s="9" t="s">
        <v>4</v>
      </c>
      <c r="H15" s="35">
        <v>16.41</v>
      </c>
      <c r="I15" s="34" t="s">
        <v>5</v>
      </c>
      <c r="J15" s="61"/>
      <c r="K15" s="9" t="s">
        <v>4</v>
      </c>
      <c r="L15" s="35">
        <v>15.07</v>
      </c>
      <c r="M15" s="34" t="s">
        <v>5</v>
      </c>
      <c r="N15" s="1"/>
      <c r="O15" s="1"/>
      <c r="P15" s="26"/>
      <c r="Q15" s="1"/>
      <c r="R15" s="1"/>
    </row>
    <row r="16" spans="1:19" ht="15.6" x14ac:dyDescent="0.3">
      <c r="A16" s="1"/>
      <c r="B16" s="25"/>
      <c r="C16" s="20" t="s">
        <v>27</v>
      </c>
      <c r="D16" s="35">
        <v>70</v>
      </c>
      <c r="E16" s="34" t="s">
        <v>13</v>
      </c>
      <c r="F16" s="1"/>
      <c r="G16" s="9" t="str">
        <f>IF(E8="Special","Mpr =","Mn =")</f>
        <v>Mpr =</v>
      </c>
      <c r="H16" s="9">
        <f>H15*D19*D25*D10*(1-(0.59*D25*D10*H15)/(D17*D19*D11))*10^-3</f>
        <v>3238.1750437500004</v>
      </c>
      <c r="I16" s="34" t="s">
        <v>38</v>
      </c>
      <c r="J16" s="61"/>
      <c r="K16" s="9" t="str">
        <f>IF(E8="Special","Mpr =","Mn =")</f>
        <v>Mpr =</v>
      </c>
      <c r="L16" s="27">
        <f>L15*D22*D25*D10*(1-(0.59*D25*D10*L15)/(D20*D22*D11))*10^-3</f>
        <v>2998.5752270833332</v>
      </c>
      <c r="M16" s="34" t="s">
        <v>38</v>
      </c>
      <c r="N16" s="1"/>
      <c r="O16" s="1"/>
      <c r="P16" s="26"/>
      <c r="Q16" s="1"/>
      <c r="R16" s="1"/>
    </row>
    <row r="17" spans="1:30" ht="15.6" x14ac:dyDescent="0.3">
      <c r="A17" s="1"/>
      <c r="B17" s="25"/>
      <c r="C17" s="20" t="s">
        <v>28</v>
      </c>
      <c r="D17" s="35">
        <v>40</v>
      </c>
      <c r="E17" s="34" t="s">
        <v>13</v>
      </c>
      <c r="F17" s="1"/>
      <c r="G17" s="60" t="s">
        <v>7</v>
      </c>
      <c r="H17" s="60"/>
      <c r="I17" s="60"/>
      <c r="J17" s="62" t="s">
        <v>3</v>
      </c>
      <c r="K17" s="60" t="s">
        <v>6</v>
      </c>
      <c r="L17" s="60"/>
      <c r="M17" s="60"/>
      <c r="N17" s="1"/>
      <c r="O17" s="1"/>
      <c r="P17" s="26"/>
    </row>
    <row r="18" spans="1:30" ht="15.6" x14ac:dyDescent="0.3">
      <c r="A18" s="1"/>
      <c r="B18" s="25"/>
      <c r="C18" s="20" t="s">
        <v>29</v>
      </c>
      <c r="D18" s="35">
        <v>50</v>
      </c>
      <c r="E18" s="34" t="s">
        <v>13</v>
      </c>
      <c r="F18" s="1"/>
      <c r="G18" s="60"/>
      <c r="H18" s="60"/>
      <c r="I18" s="60"/>
      <c r="J18" s="62"/>
      <c r="K18" s="60"/>
      <c r="L18" s="60"/>
      <c r="M18" s="60"/>
      <c r="N18" s="1"/>
      <c r="O18" s="1"/>
      <c r="P18" s="26"/>
    </row>
    <row r="19" spans="1:30" ht="16.2" x14ac:dyDescent="0.3">
      <c r="A19" s="1"/>
      <c r="B19" s="25"/>
      <c r="C19" s="20" t="s">
        <v>30</v>
      </c>
      <c r="D19" s="35">
        <v>43.5</v>
      </c>
      <c r="E19" s="34" t="s">
        <v>13</v>
      </c>
      <c r="F19" s="1"/>
      <c r="G19" s="9" t="s">
        <v>4</v>
      </c>
      <c r="H19" s="35">
        <v>13.51</v>
      </c>
      <c r="I19" s="34" t="s">
        <v>5</v>
      </c>
      <c r="J19" s="61" t="s">
        <v>8</v>
      </c>
      <c r="K19" s="9" t="s">
        <v>4</v>
      </c>
      <c r="L19" s="35">
        <v>14.11</v>
      </c>
      <c r="M19" s="34" t="s">
        <v>5</v>
      </c>
      <c r="N19" s="1"/>
      <c r="O19" s="1"/>
      <c r="P19" s="26"/>
    </row>
    <row r="20" spans="1:30" ht="15.6" x14ac:dyDescent="0.3">
      <c r="A20" s="1"/>
      <c r="B20" s="25"/>
      <c r="C20" s="20" t="s">
        <v>31</v>
      </c>
      <c r="D20" s="35">
        <v>40</v>
      </c>
      <c r="E20" s="34" t="s">
        <v>13</v>
      </c>
      <c r="F20" s="1"/>
      <c r="G20" s="9" t="str">
        <f>IF(E8="Special","Mpr =","Mn =")</f>
        <v>Mpr =</v>
      </c>
      <c r="H20" s="27">
        <f>H19*D19*D25*D10*(1-(0.59*D25*D10*H19)/(D17*D19*D11))*10^-3</f>
        <v>2714.0773770833334</v>
      </c>
      <c r="I20" s="34" t="s">
        <v>38</v>
      </c>
      <c r="J20" s="61"/>
      <c r="K20" s="9" t="str">
        <f>IF(E8="Special","Mpr =","Mn =")</f>
        <v>Mpr =</v>
      </c>
      <c r="L20" s="27">
        <f>L19*D22*D25*D10*(1-(0.59*D25*D10*L19)/(D20*D22*D11))*10^-3</f>
        <v>2824.2076270833327</v>
      </c>
      <c r="M20" s="34" t="s">
        <v>38</v>
      </c>
      <c r="N20" s="1"/>
      <c r="O20" s="1"/>
      <c r="P20" s="26"/>
      <c r="Q20" s="1"/>
      <c r="R20" s="1"/>
    </row>
    <row r="21" spans="1:30" ht="15.6" x14ac:dyDescent="0.3">
      <c r="A21" s="1"/>
      <c r="B21" s="25"/>
      <c r="C21" s="20" t="s">
        <v>32</v>
      </c>
      <c r="D21" s="35">
        <v>50</v>
      </c>
      <c r="E21" s="34" t="s">
        <v>13</v>
      </c>
      <c r="F21" s="1"/>
      <c r="G21" s="1"/>
      <c r="H21" s="1"/>
      <c r="I21" s="15"/>
      <c r="J21" s="61"/>
      <c r="K21" s="15"/>
      <c r="L21" s="1"/>
      <c r="M21" s="1"/>
      <c r="N21" s="1"/>
      <c r="O21" s="1"/>
      <c r="P21" s="26"/>
      <c r="Q21" s="1"/>
      <c r="R21" s="1"/>
      <c r="AA21" s="13"/>
      <c r="AB21" s="13"/>
      <c r="AC21" s="13"/>
      <c r="AD21" s="13"/>
    </row>
    <row r="22" spans="1:30" ht="16.2" customHeight="1" x14ac:dyDescent="0.3">
      <c r="A22" s="1"/>
      <c r="B22" s="25"/>
      <c r="C22" s="20" t="s">
        <v>33</v>
      </c>
      <c r="D22" s="35">
        <v>43.5</v>
      </c>
      <c r="E22" s="34" t="s">
        <v>13</v>
      </c>
      <c r="F22" s="1"/>
      <c r="G22" s="1"/>
      <c r="H22" s="1"/>
      <c r="I22" s="15"/>
      <c r="J22" s="61"/>
      <c r="K22" s="15"/>
      <c r="L22" s="1"/>
      <c r="M22" s="1"/>
      <c r="N22" s="1"/>
      <c r="O22" s="1"/>
      <c r="P22" s="26"/>
      <c r="Q22" s="1"/>
      <c r="R22" s="1"/>
      <c r="AA22" s="13"/>
      <c r="AB22" s="13"/>
      <c r="AC22" s="13"/>
      <c r="AD22" s="13"/>
    </row>
    <row r="23" spans="1:30" x14ac:dyDescent="0.3">
      <c r="A23" s="1"/>
      <c r="B23" s="25"/>
      <c r="C23" s="1"/>
      <c r="D23" s="1"/>
      <c r="E23" s="1"/>
      <c r="F23" s="1"/>
      <c r="G23" s="4"/>
      <c r="H23" s="1"/>
      <c r="I23" s="4"/>
      <c r="J23" s="61"/>
      <c r="K23" s="4"/>
      <c r="L23" s="1"/>
      <c r="M23" s="1"/>
      <c r="N23" s="1"/>
      <c r="O23" s="1"/>
      <c r="P23" s="26"/>
      <c r="Q23" s="1"/>
      <c r="R23" s="1"/>
      <c r="AA23" s="13"/>
      <c r="AB23" s="13"/>
      <c r="AC23" s="13"/>
      <c r="AD23" s="13"/>
    </row>
    <row r="24" spans="1:30" x14ac:dyDescent="0.3">
      <c r="A24" s="1"/>
      <c r="B24" s="25"/>
      <c r="C24" s="54" t="s">
        <v>1</v>
      </c>
      <c r="D24" s="54"/>
      <c r="E24" s="54"/>
      <c r="F24" s="1"/>
      <c r="G24" s="1"/>
      <c r="H24" s="1"/>
      <c r="I24" s="1"/>
      <c r="J24" s="61"/>
      <c r="K24" s="1"/>
      <c r="L24" s="1"/>
      <c r="M24" s="1"/>
      <c r="N24" s="1"/>
      <c r="O24" s="1"/>
      <c r="P24" s="26"/>
      <c r="Q24" s="1"/>
      <c r="R24" s="1"/>
      <c r="AA24" s="13"/>
      <c r="AB24" s="13"/>
      <c r="AC24" s="13"/>
      <c r="AD24" s="13"/>
    </row>
    <row r="25" spans="1:30" x14ac:dyDescent="0.3">
      <c r="A25" s="1"/>
      <c r="B25" s="25"/>
      <c r="C25" s="8" t="s">
        <v>17</v>
      </c>
      <c r="D25" s="9">
        <f>IF(E8="Intermediate",1,1.25)</f>
        <v>1.25</v>
      </c>
      <c r="E25" s="1"/>
      <c r="F25" s="1"/>
      <c r="G25" s="58" t="s">
        <v>10</v>
      </c>
      <c r="H25" s="59"/>
      <c r="I25" s="34"/>
      <c r="J25" s="61"/>
      <c r="K25" s="1"/>
      <c r="L25" s="1"/>
      <c r="M25" s="1"/>
      <c r="N25" s="1"/>
      <c r="O25" s="1"/>
      <c r="P25" s="26"/>
      <c r="Q25" s="1"/>
      <c r="R25" s="1"/>
      <c r="AB25" s="13"/>
      <c r="AC25" s="13"/>
      <c r="AD25" s="13"/>
    </row>
    <row r="26" spans="1:30" x14ac:dyDescent="0.3">
      <c r="A26" s="1"/>
      <c r="B26" s="25"/>
      <c r="C26" s="18" t="s">
        <v>36</v>
      </c>
      <c r="D26" s="9">
        <f>IF(E8="Intermediate",0.75,0.85)</f>
        <v>0.85</v>
      </c>
      <c r="E26" s="1"/>
      <c r="F26" s="1"/>
      <c r="G26" s="36"/>
      <c r="H26" s="37"/>
      <c r="I26" s="34"/>
      <c r="J26" s="38"/>
      <c r="K26" s="1"/>
      <c r="L26" s="1"/>
      <c r="M26" s="1"/>
      <c r="N26" s="1"/>
      <c r="O26" s="1"/>
      <c r="P26" s="26"/>
      <c r="Q26" s="1"/>
      <c r="R26" s="1"/>
      <c r="AB26" s="13"/>
      <c r="AC26" s="13"/>
      <c r="AD26" s="13"/>
    </row>
    <row r="27" spans="1:30" ht="16.2" x14ac:dyDescent="0.3">
      <c r="A27" s="1"/>
      <c r="B27" s="25"/>
      <c r="C27" s="8" t="s">
        <v>19</v>
      </c>
      <c r="D27" s="10">
        <f>MAX(L15+H19,H15+L19)*D25*D10*10^-3</f>
        <v>152.6</v>
      </c>
      <c r="E27" s="34" t="s">
        <v>34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26"/>
      <c r="Y27" s="20"/>
      <c r="Z27" s="21"/>
      <c r="AA27" s="17"/>
      <c r="AB27" s="13"/>
      <c r="AC27" s="13"/>
      <c r="AD27" s="13"/>
    </row>
    <row r="28" spans="1:30" ht="16.2" x14ac:dyDescent="0.3">
      <c r="A28" s="1"/>
      <c r="B28" s="25"/>
      <c r="C28" s="8" t="s">
        <v>21</v>
      </c>
      <c r="D28" s="19">
        <f>IF(D13=0,0,(MAX(H16+L20,L16+H20))*2/(D12+D13))</f>
        <v>0</v>
      </c>
      <c r="E28" s="34" t="s">
        <v>34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26"/>
      <c r="Q28" s="1"/>
      <c r="R28" s="1"/>
      <c r="Y28" s="14"/>
      <c r="Z28" s="3"/>
      <c r="AA28" s="11"/>
      <c r="AB28" s="2"/>
      <c r="AC28" s="13"/>
      <c r="AD28" s="13"/>
    </row>
    <row r="29" spans="1:30" ht="16.2" x14ac:dyDescent="0.3">
      <c r="A29" s="1"/>
      <c r="B29" s="25"/>
      <c r="C29" s="8" t="s">
        <v>22</v>
      </c>
      <c r="D29" s="19">
        <f>D27-D28</f>
        <v>152.6</v>
      </c>
      <c r="E29" s="34" t="s">
        <v>34</v>
      </c>
      <c r="F29" s="34"/>
      <c r="G29" s="1"/>
      <c r="H29" s="1"/>
      <c r="I29" s="1"/>
      <c r="J29" s="1"/>
      <c r="K29" s="1"/>
      <c r="L29" s="1"/>
      <c r="M29" s="1"/>
      <c r="N29" s="1"/>
      <c r="O29" s="1"/>
      <c r="P29" s="26"/>
      <c r="Z29" s="5"/>
      <c r="AA29" s="5"/>
      <c r="AB29" s="5"/>
      <c r="AC29" s="5"/>
      <c r="AD29" s="5"/>
    </row>
    <row r="30" spans="1:30" ht="16.2" x14ac:dyDescent="0.3">
      <c r="A30" s="1"/>
      <c r="B30" s="25"/>
      <c r="C30" s="9" t="s">
        <v>24</v>
      </c>
      <c r="D30" s="19">
        <f>MIN(MIN(D17,D20)+D16,MIN(D17,D20)+2*D14,D15)*D16</f>
        <v>2800</v>
      </c>
      <c r="E30" s="34" t="s">
        <v>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26"/>
      <c r="Z30" s="5"/>
      <c r="AA30" s="5"/>
      <c r="AB30" s="5"/>
      <c r="AC30" s="5"/>
      <c r="AD30" s="5"/>
    </row>
    <row r="31" spans="1:30" ht="15.6" x14ac:dyDescent="0.3">
      <c r="A31" s="1"/>
      <c r="B31" s="25"/>
      <c r="C31" s="18" t="s">
        <v>35</v>
      </c>
      <c r="D31" s="10">
        <f>IF(E9="Confined by Beams on All Four Faces",D26*5.3*D11^0.5*D30*10^-3,IF(E9="For Other Cases",D26*3.2*D11^0.5*D30*10^-3,D26*4*D11^0.5*D30*10^-3))</f>
        <v>164.89123688055716</v>
      </c>
      <c r="E31" s="34" t="s">
        <v>34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26"/>
      <c r="Z31" s="3"/>
      <c r="AA31" s="13"/>
      <c r="AB31" s="2"/>
      <c r="AC31" s="13"/>
      <c r="AD31" s="13"/>
    </row>
    <row r="32" spans="1:30" x14ac:dyDescent="0.3">
      <c r="A32" s="1"/>
      <c r="B32" s="25"/>
      <c r="C32" s="18" t="s">
        <v>25</v>
      </c>
      <c r="D32" s="9">
        <f>ROUNDUP(D29/D31,2)</f>
        <v>0.93</v>
      </c>
      <c r="E32" s="34" t="str">
        <f>IF(D32&lt;=1,"O.K","N.G")</f>
        <v>O.K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26"/>
      <c r="Z32" s="15"/>
      <c r="AA32" s="13"/>
      <c r="AB32" s="13"/>
      <c r="AC32" s="13"/>
      <c r="AD32" s="13"/>
    </row>
    <row r="33" spans="1:30" ht="15" thickBot="1" x14ac:dyDescent="0.35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Z33" s="15"/>
      <c r="AA33" s="13"/>
      <c r="AB33" s="13"/>
      <c r="AC33" s="13"/>
      <c r="AD33" s="13"/>
    </row>
    <row r="34" spans="1:30" x14ac:dyDescent="0.3">
      <c r="A34" s="1"/>
      <c r="B34" s="1"/>
      <c r="Z34" s="15"/>
      <c r="AA34" s="13"/>
      <c r="AB34" s="13"/>
      <c r="AC34" s="13"/>
      <c r="AD34" s="13"/>
    </row>
    <row r="35" spans="1:30" x14ac:dyDescent="0.3">
      <c r="Z35" s="13"/>
      <c r="AA35" s="13"/>
      <c r="AB35" s="13"/>
      <c r="AC35" s="13"/>
      <c r="AD35" s="13"/>
    </row>
    <row r="36" spans="1:30" x14ac:dyDescent="0.3">
      <c r="Z36" s="13"/>
      <c r="AA36" s="13"/>
      <c r="AB36" s="13"/>
      <c r="AC36" s="13"/>
      <c r="AD36" s="13"/>
    </row>
    <row r="37" spans="1:30" x14ac:dyDescent="0.3">
      <c r="Z37" s="13"/>
      <c r="AA37" s="13"/>
      <c r="AB37" s="13"/>
      <c r="AC37" s="13"/>
      <c r="AD37" s="13"/>
    </row>
  </sheetData>
  <sheetProtection algorithmName="SHA-512" hashValue="UveXSiiKn09YE0XF1h2Y7xhyUzgiitKzFFXumExiYYiayNR8k/1lfawGG8XhRlfrkMkPAMR2UArZxgyvl0J3XA==" saltValue="gtTIkh6J6vVSna7DpoPYMQ==" spinCount="100000" sheet="1" objects="1" scenarios="1"/>
  <mergeCells count="14">
    <mergeCell ref="L3:N3"/>
    <mergeCell ref="F3:J4"/>
    <mergeCell ref="G25:H25"/>
    <mergeCell ref="G17:I18"/>
    <mergeCell ref="K17:M18"/>
    <mergeCell ref="J11:J16"/>
    <mergeCell ref="J17:J18"/>
    <mergeCell ref="J19:J25"/>
    <mergeCell ref="C6:E6"/>
    <mergeCell ref="C24:E24"/>
    <mergeCell ref="C8:D8"/>
    <mergeCell ref="E8:F8"/>
    <mergeCell ref="C9:D9"/>
    <mergeCell ref="E9:J9"/>
  </mergeCells>
  <conditionalFormatting sqref="E32">
    <cfRule type="expression" dxfId="3" priority="1">
      <formula>$D$32&lt;=1</formula>
    </cfRule>
    <cfRule type="expression" dxfId="2" priority="2">
      <formula>$D$32&gt;1</formula>
    </cfRule>
  </conditionalFormatting>
  <dataValidations count="2">
    <dataValidation type="list" allowBlank="1" showInputMessage="1" showErrorMessage="1" sqref="E8" xr:uid="{00000000-0002-0000-0000-000000000000}">
      <formula1>"Special,Intermediate"</formula1>
    </dataValidation>
    <dataValidation type="list" allowBlank="1" showInputMessage="1" showErrorMessage="1" sqref="E9:J9" xr:uid="{00000000-0002-0000-0000-000001000000}">
      <formula1>"Confined by Beams on All Four Faces,Confined by Beams on Three Faces or on Two Opposite Faces,For Other Cases"</formula1>
    </dataValidation>
  </dataValidations>
  <hyperlinks>
    <hyperlink ref="L3" r:id="rId1" xr:uid="{E62C095B-24AD-4E96-AF2E-3F7919E0EAA6}"/>
  </hyperlinks>
  <printOptions horizontalCentered="1"/>
  <pageMargins left="0.25" right="0.25" top="0.5" bottom="0.25" header="0.3" footer="0.05"/>
  <pageSetup paperSize="9" scale="50" orientation="portrait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9"/>
  <sheetViews>
    <sheetView showGridLines="0" tabSelected="1" zoomScaleNormal="100" workbookViewId="0">
      <selection activeCell="L3" sqref="L3:N3"/>
    </sheetView>
  </sheetViews>
  <sheetFormatPr defaultRowHeight="14.4" x14ac:dyDescent="0.3"/>
  <cols>
    <col min="1" max="1" width="4.6640625" customWidth="1"/>
    <col min="5" max="5" width="9.5546875" bestFit="1" customWidth="1"/>
  </cols>
  <sheetData>
    <row r="1" spans="1:39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5"/>
      <c r="S1" s="44"/>
      <c r="T1" s="44"/>
      <c r="U1" s="44"/>
      <c r="V1" s="44"/>
      <c r="W1" s="44"/>
      <c r="X1" s="44"/>
      <c r="Y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9" x14ac:dyDescent="0.3">
      <c r="A2" s="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44"/>
      <c r="R2" s="44"/>
      <c r="S2" s="44"/>
      <c r="T2" s="44"/>
      <c r="U2" s="44"/>
      <c r="V2" s="44"/>
      <c r="W2" s="44"/>
      <c r="X2" s="44"/>
      <c r="Y2" s="44"/>
      <c r="Z2" s="43"/>
      <c r="AA2" s="44"/>
      <c r="AB2" s="44"/>
      <c r="AC2" s="44"/>
      <c r="AD2" s="44"/>
      <c r="AE2" s="44"/>
      <c r="AF2" s="44"/>
      <c r="AG2" s="44"/>
      <c r="AH2" s="44"/>
      <c r="AI2" s="44"/>
    </row>
    <row r="3" spans="1:39" ht="15" customHeight="1" x14ac:dyDescent="0.3">
      <c r="A3" s="1"/>
      <c r="B3" s="25"/>
      <c r="C3" s="1"/>
      <c r="D3" s="1"/>
      <c r="E3" s="1"/>
      <c r="F3" s="57" t="s">
        <v>20</v>
      </c>
      <c r="G3" s="57"/>
      <c r="H3" s="57"/>
      <c r="I3" s="57"/>
      <c r="J3" s="57"/>
      <c r="K3" s="1"/>
      <c r="L3" s="64" t="s">
        <v>48</v>
      </c>
      <c r="M3" s="64"/>
      <c r="N3" s="64"/>
      <c r="O3" s="1"/>
      <c r="P3" s="26"/>
      <c r="Q3" s="45"/>
      <c r="Y3" s="44"/>
      <c r="Z3" s="43"/>
      <c r="AA3" s="44"/>
      <c r="AB3" s="44"/>
      <c r="AC3" s="63" t="s">
        <v>44</v>
      </c>
      <c r="AD3" s="63"/>
      <c r="AE3" s="50"/>
      <c r="AF3" s="63" t="s">
        <v>47</v>
      </c>
      <c r="AG3" s="63"/>
      <c r="AH3" s="43"/>
      <c r="AI3" s="63" t="s">
        <v>39</v>
      </c>
      <c r="AJ3" s="63"/>
      <c r="AK3" s="43"/>
      <c r="AL3" s="63" t="s">
        <v>12</v>
      </c>
      <c r="AM3" s="63"/>
    </row>
    <row r="4" spans="1:39" ht="15" customHeight="1" x14ac:dyDescent="0.3">
      <c r="A4" s="1"/>
      <c r="B4" s="31"/>
      <c r="C4" s="16"/>
      <c r="D4" s="16"/>
      <c r="E4" s="16"/>
      <c r="F4" s="57"/>
      <c r="G4" s="57"/>
      <c r="H4" s="57"/>
      <c r="I4" s="57"/>
      <c r="J4" s="57"/>
      <c r="K4" s="16"/>
      <c r="L4" s="16"/>
      <c r="M4" s="16"/>
      <c r="N4" s="16"/>
      <c r="O4" s="1"/>
      <c r="P4" s="26"/>
      <c r="Q4" s="45"/>
      <c r="Y4" s="44"/>
      <c r="Z4" s="43"/>
      <c r="AA4" s="44"/>
      <c r="AB4" s="44"/>
      <c r="AC4" s="63">
        <v>1</v>
      </c>
      <c r="AD4" s="63"/>
      <c r="AE4" s="43"/>
      <c r="AF4" s="51" t="b">
        <f>AND(E8="Ordinary",E9="Continuous",E10="Continuous",G11="Confined")</f>
        <v>0</v>
      </c>
      <c r="AG4" s="51">
        <f>IF(AF4=TRUE,D28*6.4*D13^0.5*D32*10^-3,0)</f>
        <v>0</v>
      </c>
      <c r="AH4" s="43"/>
      <c r="AI4" s="51" t="b">
        <f>AND(E8="Intermediate",E9="Continuous",E10="Continuous",G11="Confined")</f>
        <v>0</v>
      </c>
      <c r="AJ4" s="51">
        <f>IF(AI4=TRUE,D28*5.3*D13^0.5*D32*10^-3,0)</f>
        <v>0</v>
      </c>
      <c r="AK4" s="43"/>
      <c r="AL4" s="51" t="b">
        <f>AND(E8="Special",E9="Continuous",E10="Continuous",G11="Confined")</f>
        <v>1</v>
      </c>
      <c r="AM4" s="53">
        <f>IF(AL4=TRUE,D28*5.3*D13^0.5*D32*10^-3,0)</f>
        <v>280.90399997152059</v>
      </c>
    </row>
    <row r="5" spans="1:39" ht="15" customHeight="1" x14ac:dyDescent="0.3">
      <c r="A5" s="1"/>
      <c r="B5" s="31"/>
      <c r="C5" s="16"/>
      <c r="D5" s="16"/>
      <c r="E5" s="16"/>
      <c r="F5" s="1"/>
      <c r="G5" s="1"/>
      <c r="H5" s="1"/>
      <c r="I5" s="1"/>
      <c r="J5" s="1"/>
      <c r="K5" s="16"/>
      <c r="L5" s="16"/>
      <c r="M5" s="16"/>
      <c r="N5" s="16"/>
      <c r="O5" s="1"/>
      <c r="P5" s="26"/>
      <c r="Q5" s="45"/>
      <c r="Y5" s="44"/>
      <c r="Z5" s="43"/>
      <c r="AA5" s="44"/>
      <c r="AB5" s="44"/>
      <c r="AC5" s="63">
        <v>2</v>
      </c>
      <c r="AD5" s="63"/>
      <c r="AE5" s="43"/>
      <c r="AF5" s="52" t="b">
        <f>AND(E8="Ordinary",E9="Continuous",E10="Continuous",G11="Not Confined")</f>
        <v>0</v>
      </c>
      <c r="AG5" s="51">
        <f>IF(AF5=TRUE,D28*5.3*D13^0.5*D32*10^-3,0)</f>
        <v>0</v>
      </c>
      <c r="AH5" s="43"/>
      <c r="AI5" s="51" t="b">
        <f>AND(E8="Intermediate",E9="Continuous",E10="Continuous",G11="Not Confined")</f>
        <v>0</v>
      </c>
      <c r="AJ5" s="51">
        <f>IF(AI5=TRUE,D28*4*D13^0.5*D32*10^-3,0)</f>
        <v>0</v>
      </c>
      <c r="AK5" s="43"/>
      <c r="AL5" s="51" t="b">
        <f>AND(E8="Special",E9="Continuous",E10="Continuous",G11="Not Confined")</f>
        <v>0</v>
      </c>
      <c r="AM5" s="53">
        <f>IF(AL5=TRUE,D28*4*D13^0.5*D32*10^-3,0)</f>
        <v>0</v>
      </c>
    </row>
    <row r="6" spans="1:39" ht="18" customHeight="1" x14ac:dyDescent="0.3">
      <c r="A6" s="1"/>
      <c r="B6" s="25"/>
      <c r="C6" s="54" t="s">
        <v>2</v>
      </c>
      <c r="D6" s="54"/>
      <c r="E6" s="54"/>
      <c r="F6" s="7"/>
      <c r="G6" s="1"/>
      <c r="H6" s="1"/>
      <c r="I6" s="7"/>
      <c r="J6" s="7"/>
      <c r="K6" s="7"/>
      <c r="L6" s="7"/>
      <c r="M6" s="1"/>
      <c r="N6" s="4"/>
      <c r="O6" s="4"/>
      <c r="P6" s="32"/>
      <c r="Q6" s="44"/>
      <c r="Y6" s="44"/>
      <c r="Z6" s="43"/>
      <c r="AA6" s="44"/>
      <c r="AB6" s="44"/>
      <c r="AC6" s="63">
        <v>3</v>
      </c>
      <c r="AD6" s="63"/>
      <c r="AE6" s="43"/>
      <c r="AF6" s="52" t="b">
        <f>AND(E8="Ordinary",E9="Continuous",E10="Other",G11="Confined")</f>
        <v>0</v>
      </c>
      <c r="AG6" s="51">
        <f>IF(AF6=TRUE,D28*5.3*D13^0.5*D32*10^-3,0)</f>
        <v>0</v>
      </c>
      <c r="AH6" s="43"/>
      <c r="AI6" s="51" t="b">
        <f>AND(E8="Intermediate",E9="Continuous",E10="Other",G11="Confined")</f>
        <v>0</v>
      </c>
      <c r="AJ6" s="51">
        <f>IF(AI6=TRUE,D28*4*D13^0.5*D32*10^-3,0)</f>
        <v>0</v>
      </c>
      <c r="AK6" s="43"/>
      <c r="AL6" s="51" t="b">
        <f>AND(E8="Special",E9="Continuous",E10="Other",G11="Confined")</f>
        <v>0</v>
      </c>
      <c r="AM6" s="53">
        <f>IF(AL6=TRUE,D28*4*D13^0.5*D32*10^-3,0)</f>
        <v>0</v>
      </c>
    </row>
    <row r="7" spans="1:39" x14ac:dyDescent="0.3">
      <c r="A7" s="1"/>
      <c r="B7" s="25"/>
      <c r="C7" s="1"/>
      <c r="D7" s="1"/>
      <c r="E7" s="1"/>
      <c r="F7" s="1"/>
      <c r="G7" s="1"/>
      <c r="H7" s="1"/>
      <c r="I7" s="1"/>
      <c r="J7" s="1"/>
      <c r="K7" s="12"/>
      <c r="L7" s="4"/>
      <c r="M7" s="1"/>
      <c r="N7" s="4"/>
      <c r="O7" s="4"/>
      <c r="P7" s="32"/>
      <c r="Q7" s="44"/>
      <c r="Y7" s="44"/>
      <c r="Z7" s="43"/>
      <c r="AA7" s="44"/>
      <c r="AB7" s="44"/>
      <c r="AC7" s="63">
        <v>4</v>
      </c>
      <c r="AD7" s="63"/>
      <c r="AE7" s="43"/>
      <c r="AF7" s="52" t="b">
        <f>AND(E8="Ordinary",E9="Continuous",E10="Other",G11="Not Confined")</f>
        <v>0</v>
      </c>
      <c r="AG7" s="51">
        <f>IF(AF7=TRUE,D28*4*D13^0.5*D32*10^-3,0)</f>
        <v>0</v>
      </c>
      <c r="AH7" s="43"/>
      <c r="AI7" s="51" t="b">
        <f>AND(E8="Intermediate",E9="Continuous",E10="Other",G11="Not Confined")</f>
        <v>0</v>
      </c>
      <c r="AJ7" s="51">
        <f>IF(AI7=TRUE,D28*3.2*D13^0.5*D32*10^-3,0)</f>
        <v>0</v>
      </c>
      <c r="AK7" s="43"/>
      <c r="AL7" s="51" t="b">
        <f>AND(E8="Special",E9="Continuous",E10="Other",G11="Not Confined")</f>
        <v>0</v>
      </c>
      <c r="AM7" s="53">
        <f>IF(AL7=TRUE,D28*3.2*D13^0.5*D32*10^-3,0)</f>
        <v>0</v>
      </c>
    </row>
    <row r="8" spans="1:39" x14ac:dyDescent="0.3">
      <c r="A8" s="1"/>
      <c r="B8" s="25"/>
      <c r="C8" s="55" t="s">
        <v>11</v>
      </c>
      <c r="D8" s="55"/>
      <c r="E8" s="56" t="s">
        <v>12</v>
      </c>
      <c r="F8" s="56"/>
      <c r="G8" s="1"/>
      <c r="H8" s="1"/>
      <c r="I8" s="1"/>
      <c r="J8" s="1"/>
      <c r="K8" s="11"/>
      <c r="L8" s="4"/>
      <c r="M8" s="1"/>
      <c r="N8" s="4"/>
      <c r="O8" s="4"/>
      <c r="P8" s="32"/>
      <c r="Q8" s="45"/>
      <c r="Y8" s="44"/>
      <c r="Z8" s="43"/>
      <c r="AA8" s="44"/>
      <c r="AB8" s="44"/>
      <c r="AC8" s="63">
        <v>5</v>
      </c>
      <c r="AD8" s="63"/>
      <c r="AE8" s="43"/>
      <c r="AF8" s="52" t="b">
        <f>AND(E8="Ordinary",E9="Other",E10="Continuous",G11="Confined")</f>
        <v>0</v>
      </c>
      <c r="AG8" s="51">
        <f>IF(AF8=TRUE,D28*5.3*D13^0.5*D32*10^-3,0)</f>
        <v>0</v>
      </c>
      <c r="AH8" s="43"/>
      <c r="AI8" s="51" t="b">
        <f>AND(E8="Intermediate",E9="Other",E10="Continuous",G11="Confined")</f>
        <v>0</v>
      </c>
      <c r="AJ8" s="51">
        <f>IF(AI8=TRUE,D28*4*D13^0.5*D32*10^-3,0)</f>
        <v>0</v>
      </c>
      <c r="AK8" s="43"/>
      <c r="AL8" s="53" t="b">
        <f>AND(E8="Special",E9="Other",E10="Continuous",G11="Confined")</f>
        <v>0</v>
      </c>
      <c r="AM8" s="51">
        <f>IF(AL8=TRUE,D28*4*D13^0.5*D32*10^-3,0)</f>
        <v>0</v>
      </c>
    </row>
    <row r="9" spans="1:39" x14ac:dyDescent="0.3">
      <c r="A9" s="1"/>
      <c r="B9" s="25"/>
      <c r="C9" s="55" t="s">
        <v>40</v>
      </c>
      <c r="D9" s="55"/>
      <c r="E9" s="56" t="s">
        <v>41</v>
      </c>
      <c r="F9" s="56"/>
      <c r="G9" s="21"/>
      <c r="H9" s="21"/>
      <c r="I9" s="21"/>
      <c r="J9" s="21"/>
      <c r="K9" s="1"/>
      <c r="L9" s="1"/>
      <c r="M9" s="1"/>
      <c r="N9" s="1"/>
      <c r="O9" s="4"/>
      <c r="P9" s="33"/>
      <c r="Q9" s="45"/>
      <c r="Y9" s="44"/>
      <c r="Z9" s="43"/>
      <c r="AA9" s="44"/>
      <c r="AB9" s="44"/>
      <c r="AC9" s="63">
        <v>6</v>
      </c>
      <c r="AD9" s="63"/>
      <c r="AE9" s="43"/>
      <c r="AF9" s="52" t="b">
        <f>AND(E8="Ordinary",E9="Other",E10="Continuous",G11="Not Confined")</f>
        <v>0</v>
      </c>
      <c r="AG9" s="51">
        <f>IF(AF9=TRUE,D28*4*D13^0.5*D32*10^-3,0)</f>
        <v>0</v>
      </c>
      <c r="AH9" s="43"/>
      <c r="AI9" s="51" t="b">
        <f>AND(E8="Intermediate",E9="Other",E10="Continuous",G11="Not Confined")</f>
        <v>0</v>
      </c>
      <c r="AJ9" s="51">
        <f>IF(AI9=TRUE,D28*3.2*D13^0.5*D32*10^-3,0)</f>
        <v>0</v>
      </c>
      <c r="AK9" s="43"/>
      <c r="AL9" s="53" t="b">
        <f>AND(E8="Special",E9="Other",E10="Continuous",G11="Not Confined")</f>
        <v>0</v>
      </c>
      <c r="AM9" s="51">
        <f>IF(AL9=TRUE,D28*3.2*D13^0.5*D32*10^-3,0)</f>
        <v>0</v>
      </c>
    </row>
    <row r="10" spans="1:39" x14ac:dyDescent="0.3">
      <c r="A10" s="1"/>
      <c r="B10" s="25"/>
      <c r="C10" s="55" t="s">
        <v>42</v>
      </c>
      <c r="D10" s="55"/>
      <c r="E10" s="56" t="s">
        <v>41</v>
      </c>
      <c r="F10" s="56"/>
      <c r="G10" s="40"/>
      <c r="H10" s="40"/>
      <c r="I10" s="40"/>
      <c r="J10" s="40"/>
      <c r="K10" s="1"/>
      <c r="L10" s="1"/>
      <c r="M10" s="1"/>
      <c r="N10" s="1"/>
      <c r="O10" s="4"/>
      <c r="P10" s="33"/>
      <c r="Q10" s="45"/>
      <c r="Y10" s="44"/>
      <c r="Z10" s="43"/>
      <c r="AA10" s="44"/>
      <c r="AB10" s="44"/>
      <c r="AC10" s="63">
        <v>7</v>
      </c>
      <c r="AD10" s="63"/>
      <c r="AE10" s="43"/>
      <c r="AF10" s="51" t="b">
        <f>AND(E8="Ordinary",E9="Other",E10="Other",G11="Confined")</f>
        <v>0</v>
      </c>
      <c r="AG10" s="51">
        <f>IF(AF10=TRUE,D28*4*D13^0.5*D32*10^-3,0)</f>
        <v>0</v>
      </c>
      <c r="AH10" s="43"/>
      <c r="AI10" s="51" t="b">
        <f>AND(E8="Intermediate",E9="Other",E10="Other",G11="Confined")</f>
        <v>0</v>
      </c>
      <c r="AJ10" s="51">
        <f>IF(AI10=TRUE,D28*3.2*D13^0.5*D32*10^-3,0)</f>
        <v>0</v>
      </c>
      <c r="AK10" s="43"/>
      <c r="AL10" s="53" t="b">
        <f>AND(E8="Special",E9="Other",E10="Other",G11="Confined")</f>
        <v>0</v>
      </c>
      <c r="AM10" s="51">
        <f>IF(AL10=TRUE,D28*3.2*D13^0.5*D32*10^-3,0)</f>
        <v>0</v>
      </c>
    </row>
    <row r="11" spans="1:39" x14ac:dyDescent="0.3">
      <c r="A11" s="1"/>
      <c r="B11" s="25"/>
      <c r="C11" s="55" t="s">
        <v>43</v>
      </c>
      <c r="D11" s="55"/>
      <c r="E11" s="55"/>
      <c r="F11" s="55"/>
      <c r="G11" s="56" t="s">
        <v>46</v>
      </c>
      <c r="H11" s="56"/>
      <c r="I11" s="40"/>
      <c r="J11" s="40"/>
      <c r="K11" s="1"/>
      <c r="L11" s="1"/>
      <c r="M11" s="1"/>
      <c r="N11" s="1"/>
      <c r="O11" s="4"/>
      <c r="P11" s="33"/>
      <c r="Q11" s="45"/>
      <c r="Y11" s="44"/>
      <c r="Z11" s="44"/>
      <c r="AA11" s="44"/>
      <c r="AB11" s="44"/>
      <c r="AC11" s="63">
        <v>8</v>
      </c>
      <c r="AD11" s="63"/>
      <c r="AE11" s="43"/>
      <c r="AF11" s="51" t="b">
        <f>AND(E8="Ordinary",E9="Other",E10="Other",G11="Not Confined")</f>
        <v>0</v>
      </c>
      <c r="AG11" s="51">
        <f>IF(AF11=TRUE,D28*3.2*D13^0.5*D32*10^-3,0)</f>
        <v>0</v>
      </c>
      <c r="AH11" s="43"/>
      <c r="AI11" s="51" t="b">
        <f>AND(E8="Intermediate",E9="Other",E10="Other",G11="Not Confined")</f>
        <v>0</v>
      </c>
      <c r="AJ11" s="51">
        <f>IF(AI11=TRUE,D28*2.1*D13^0.5*D32*10^-3,0)</f>
        <v>0</v>
      </c>
      <c r="AK11" s="43"/>
      <c r="AL11" s="53" t="b">
        <f>AND(E8="Special",E9="Other",E10="Other",G11="Not Confined")</f>
        <v>0</v>
      </c>
      <c r="AM11" s="51">
        <f>IF(AL11=TRUE,D28*2.1*D13^0.5*D32*10^-3,0)</f>
        <v>0</v>
      </c>
    </row>
    <row r="12" spans="1:39" ht="16.2" x14ac:dyDescent="0.3">
      <c r="A12" s="1"/>
      <c r="B12" s="25"/>
      <c r="C12" s="9" t="s">
        <v>14</v>
      </c>
      <c r="D12" s="40">
        <v>4000</v>
      </c>
      <c r="E12" s="39" t="s">
        <v>37</v>
      </c>
      <c r="F12" s="1"/>
      <c r="G12" s="1"/>
      <c r="H12" s="1"/>
      <c r="I12" s="1"/>
      <c r="J12" s="1"/>
      <c r="K12" s="1"/>
      <c r="L12" s="1"/>
      <c r="M12" s="1"/>
      <c r="N12" s="1"/>
      <c r="O12" s="6"/>
      <c r="P12" s="32"/>
      <c r="Q12" s="45"/>
      <c r="R12" s="45"/>
      <c r="S12" s="45"/>
      <c r="T12" s="44"/>
      <c r="U12" s="44"/>
      <c r="V12" s="44"/>
      <c r="W12" s="44"/>
      <c r="X12" s="44"/>
      <c r="Y12" s="44"/>
      <c r="Z12" s="43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9" ht="14.4" customHeight="1" x14ac:dyDescent="0.3">
      <c r="A13" s="1"/>
      <c r="B13" s="25"/>
      <c r="C13" s="9" t="s">
        <v>0</v>
      </c>
      <c r="D13" s="40">
        <v>300</v>
      </c>
      <c r="E13" s="39" t="s">
        <v>37</v>
      </c>
      <c r="F13" s="1"/>
      <c r="G13" s="1"/>
      <c r="H13" s="1"/>
      <c r="I13" s="1"/>
      <c r="J13" s="61" t="s">
        <v>9</v>
      </c>
      <c r="K13" s="1"/>
      <c r="L13" s="1"/>
      <c r="M13" s="1"/>
      <c r="N13" s="1"/>
      <c r="O13" s="1"/>
      <c r="P13" s="26"/>
      <c r="Q13" s="45"/>
      <c r="R13" s="48"/>
      <c r="S13" s="49"/>
      <c r="T13" s="49"/>
      <c r="U13" s="49"/>
      <c r="V13" s="49"/>
      <c r="W13" s="49"/>
      <c r="X13" s="49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9" ht="15.6" x14ac:dyDescent="0.3">
      <c r="A14" s="1"/>
      <c r="B14" s="25"/>
      <c r="C14" s="39" t="s">
        <v>15</v>
      </c>
      <c r="D14" s="40">
        <v>304</v>
      </c>
      <c r="E14" s="39" t="s">
        <v>13</v>
      </c>
      <c r="F14" s="1"/>
      <c r="G14" s="1"/>
      <c r="H14" s="1"/>
      <c r="I14" s="1"/>
      <c r="J14" s="61"/>
      <c r="K14" s="1"/>
      <c r="L14" s="1"/>
      <c r="M14" s="1"/>
      <c r="N14" s="1"/>
      <c r="O14" s="1"/>
      <c r="P14" s="26"/>
      <c r="Q14" s="45"/>
      <c r="R14" s="48"/>
      <c r="S14" s="49"/>
      <c r="T14" s="49"/>
      <c r="U14" s="49"/>
      <c r="V14" s="49"/>
      <c r="W14" s="49"/>
      <c r="X14" s="49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9" ht="15.6" x14ac:dyDescent="0.3">
      <c r="A15" s="1"/>
      <c r="B15" s="25"/>
      <c r="C15" s="39" t="s">
        <v>16</v>
      </c>
      <c r="D15" s="40">
        <v>0</v>
      </c>
      <c r="E15" s="39" t="s">
        <v>13</v>
      </c>
      <c r="F15" s="1"/>
      <c r="G15" s="1"/>
      <c r="H15" s="1"/>
      <c r="I15" s="1"/>
      <c r="J15" s="61"/>
      <c r="K15" s="1"/>
      <c r="L15" s="1"/>
      <c r="M15" s="1"/>
      <c r="N15" s="1"/>
      <c r="O15" s="1"/>
      <c r="P15" s="26"/>
      <c r="Q15" s="45"/>
      <c r="R15" s="45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9" x14ac:dyDescent="0.3">
      <c r="A16" s="1"/>
      <c r="B16" s="25"/>
      <c r="C16" s="8" t="s">
        <v>23</v>
      </c>
      <c r="D16" s="40">
        <v>5</v>
      </c>
      <c r="E16" s="39" t="s">
        <v>13</v>
      </c>
      <c r="F16" s="17"/>
      <c r="G16" s="1"/>
      <c r="H16" s="1"/>
      <c r="I16" s="5"/>
      <c r="J16" s="61"/>
      <c r="K16" s="15"/>
      <c r="L16" s="4"/>
      <c r="M16" s="4"/>
      <c r="N16" s="1"/>
      <c r="O16" s="1"/>
      <c r="P16" s="26"/>
      <c r="Q16" s="45"/>
      <c r="R16" s="44"/>
      <c r="S16" s="44"/>
      <c r="T16" s="44"/>
      <c r="U16" s="44"/>
      <c r="V16" s="44"/>
      <c r="W16" s="44"/>
      <c r="X16" s="44"/>
      <c r="Y16" s="46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6.2" x14ac:dyDescent="0.3">
      <c r="A17" s="1"/>
      <c r="B17" s="25"/>
      <c r="C17" s="20" t="s">
        <v>26</v>
      </c>
      <c r="D17" s="40">
        <v>60</v>
      </c>
      <c r="E17" s="2" t="s">
        <v>13</v>
      </c>
      <c r="F17" s="1"/>
      <c r="G17" s="9" t="s">
        <v>4</v>
      </c>
      <c r="H17" s="40">
        <v>20.53</v>
      </c>
      <c r="I17" s="39" t="s">
        <v>5</v>
      </c>
      <c r="J17" s="61"/>
      <c r="K17" s="9" t="s">
        <v>4</v>
      </c>
      <c r="L17" s="40">
        <v>17.329999999999998</v>
      </c>
      <c r="M17" s="39" t="s">
        <v>5</v>
      </c>
      <c r="N17" s="1"/>
      <c r="O17" s="1"/>
      <c r="P17" s="26"/>
      <c r="Q17" s="45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5.6" x14ac:dyDescent="0.3">
      <c r="A18" s="1"/>
      <c r="B18" s="25"/>
      <c r="C18" s="20" t="s">
        <v>27</v>
      </c>
      <c r="D18" s="40">
        <v>60</v>
      </c>
      <c r="E18" s="39" t="s">
        <v>13</v>
      </c>
      <c r="F18" s="1"/>
      <c r="G18" s="9" t="str">
        <f>IF(E8="Special","Mpr =","Mn =")</f>
        <v>Mpr =</v>
      </c>
      <c r="H18" s="9">
        <f>H17*D21*D27*D12*(1-(0.59*D27*D12*H17)/(D19*D21*D13))*10^-3</f>
        <v>5077.3187816666677</v>
      </c>
      <c r="I18" s="39" t="s">
        <v>38</v>
      </c>
      <c r="J18" s="61"/>
      <c r="K18" s="9" t="str">
        <f>IF(E8="Special","Mpr =","Mn =")</f>
        <v>Mpr =</v>
      </c>
      <c r="L18" s="27">
        <f>L17*D24*D27*D12*(1-(0.59*D27*D12*L17)/(D22*D24*D13))*10^-3</f>
        <v>4340.4515816666672</v>
      </c>
      <c r="M18" s="39" t="s">
        <v>38</v>
      </c>
      <c r="N18" s="1"/>
      <c r="O18" s="1"/>
      <c r="P18" s="26"/>
      <c r="Q18" s="4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5.6" x14ac:dyDescent="0.3">
      <c r="A19" s="1"/>
      <c r="B19" s="25"/>
      <c r="C19" s="20" t="s">
        <v>28</v>
      </c>
      <c r="D19" s="40">
        <v>50</v>
      </c>
      <c r="E19" s="39" t="s">
        <v>13</v>
      </c>
      <c r="F19" s="1"/>
      <c r="G19" s="60" t="s">
        <v>7</v>
      </c>
      <c r="H19" s="60"/>
      <c r="I19" s="60"/>
      <c r="J19" s="62" t="s">
        <v>3</v>
      </c>
      <c r="K19" s="60" t="s">
        <v>6</v>
      </c>
      <c r="L19" s="60"/>
      <c r="M19" s="60"/>
      <c r="N19" s="1"/>
      <c r="O19" s="1"/>
      <c r="P19" s="26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5.6" x14ac:dyDescent="0.3">
      <c r="A20" s="1"/>
      <c r="B20" s="25"/>
      <c r="C20" s="20" t="s">
        <v>29</v>
      </c>
      <c r="D20" s="40">
        <v>60</v>
      </c>
      <c r="E20" s="39" t="s">
        <v>13</v>
      </c>
      <c r="F20" s="1"/>
      <c r="G20" s="60"/>
      <c r="H20" s="60"/>
      <c r="I20" s="60"/>
      <c r="J20" s="62"/>
      <c r="K20" s="60"/>
      <c r="L20" s="60"/>
      <c r="M20" s="60"/>
      <c r="N20" s="1"/>
      <c r="O20" s="1"/>
      <c r="P20" s="26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6.2" x14ac:dyDescent="0.3">
      <c r="A21" s="1"/>
      <c r="B21" s="25"/>
      <c r="C21" s="20" t="s">
        <v>30</v>
      </c>
      <c r="D21" s="40">
        <v>53.5</v>
      </c>
      <c r="E21" s="39" t="s">
        <v>13</v>
      </c>
      <c r="F21" s="1"/>
      <c r="G21" s="9" t="s">
        <v>4</v>
      </c>
      <c r="H21" s="40">
        <v>12.71</v>
      </c>
      <c r="I21" s="39" t="s">
        <v>5</v>
      </c>
      <c r="J21" s="61" t="s">
        <v>8</v>
      </c>
      <c r="K21" s="9" t="s">
        <v>4</v>
      </c>
      <c r="L21" s="40">
        <v>9.4</v>
      </c>
      <c r="M21" s="39" t="s">
        <v>5</v>
      </c>
      <c r="N21" s="1"/>
      <c r="O21" s="1"/>
      <c r="P21" s="26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5.6" x14ac:dyDescent="0.3">
      <c r="A22" s="1"/>
      <c r="B22" s="25"/>
      <c r="C22" s="20" t="s">
        <v>31</v>
      </c>
      <c r="D22" s="40">
        <v>50</v>
      </c>
      <c r="E22" s="39" t="s">
        <v>13</v>
      </c>
      <c r="F22" s="1"/>
      <c r="G22" s="9" t="str">
        <f>IF(E8="Special","Mpr =","Mn =")</f>
        <v>Mpr =</v>
      </c>
      <c r="H22" s="27">
        <f>H21*D21*D27*D12*(1-(0.59*D27*D12*H21)/(D19*D21*D13))*10^-3</f>
        <v>3241.0733016666663</v>
      </c>
      <c r="I22" s="39" t="s">
        <v>38</v>
      </c>
      <c r="J22" s="61"/>
      <c r="K22" s="9" t="str">
        <f>IF(E8="Special","Mpr =","Mn =")</f>
        <v>Mpr =</v>
      </c>
      <c r="L22" s="27">
        <f>L21*D24*D27*D12*(1-(0.59*D27*D12*L21)/(D22*D24*D13))*10^-3</f>
        <v>2427.6126666666664</v>
      </c>
      <c r="M22" s="39" t="s">
        <v>38</v>
      </c>
      <c r="N22" s="1"/>
      <c r="O22" s="1"/>
      <c r="P22" s="26"/>
      <c r="Q22" s="45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5.6" x14ac:dyDescent="0.3">
      <c r="A23" s="1"/>
      <c r="B23" s="25"/>
      <c r="C23" s="20" t="s">
        <v>32</v>
      </c>
      <c r="D23" s="40">
        <v>60</v>
      </c>
      <c r="E23" s="39" t="s">
        <v>13</v>
      </c>
      <c r="F23" s="1"/>
      <c r="G23" s="1"/>
      <c r="H23" s="1"/>
      <c r="I23" s="15"/>
      <c r="J23" s="61"/>
      <c r="K23" s="15"/>
      <c r="L23" s="1"/>
      <c r="M23" s="1"/>
      <c r="N23" s="1"/>
      <c r="O23" s="1"/>
      <c r="P23" s="26"/>
      <c r="Q23" s="45"/>
      <c r="R23" s="44"/>
      <c r="S23" s="44"/>
      <c r="T23" s="44"/>
      <c r="U23" s="44"/>
      <c r="V23" s="44"/>
      <c r="W23" s="44"/>
      <c r="X23" s="44"/>
      <c r="Y23" s="44"/>
      <c r="Z23" s="44"/>
      <c r="AA23" s="47"/>
      <c r="AB23" s="47"/>
      <c r="AC23" s="47"/>
      <c r="AD23" s="47"/>
      <c r="AE23" s="44"/>
      <c r="AF23" s="44"/>
      <c r="AG23" s="44"/>
      <c r="AH23" s="44"/>
      <c r="AI23" s="44"/>
    </row>
    <row r="24" spans="1:35" ht="16.2" customHeight="1" x14ac:dyDescent="0.3">
      <c r="A24" s="1"/>
      <c r="B24" s="25"/>
      <c r="C24" s="20" t="s">
        <v>33</v>
      </c>
      <c r="D24" s="40">
        <v>53.5</v>
      </c>
      <c r="E24" s="39" t="s">
        <v>13</v>
      </c>
      <c r="F24" s="1"/>
      <c r="G24" s="1"/>
      <c r="H24" s="1"/>
      <c r="I24" s="15"/>
      <c r="J24" s="61"/>
      <c r="K24" s="15"/>
      <c r="L24" s="1"/>
      <c r="M24" s="1"/>
      <c r="N24" s="1"/>
      <c r="O24" s="1"/>
      <c r="P24" s="26"/>
      <c r="Q24" s="45"/>
      <c r="R24" s="44"/>
      <c r="S24" s="44"/>
      <c r="T24" s="44"/>
      <c r="U24" s="44"/>
      <c r="V24" s="44"/>
      <c r="W24" s="44"/>
      <c r="X24" s="44"/>
      <c r="Y24" s="44"/>
      <c r="Z24" s="44"/>
      <c r="AA24" s="47"/>
      <c r="AB24" s="13"/>
      <c r="AC24" s="13"/>
      <c r="AD24" s="13"/>
    </row>
    <row r="25" spans="1:35" x14ac:dyDescent="0.3">
      <c r="A25" s="1"/>
      <c r="B25" s="25"/>
      <c r="C25" s="1"/>
      <c r="D25" s="1"/>
      <c r="E25" s="1"/>
      <c r="F25" s="1"/>
      <c r="G25" s="4"/>
      <c r="H25" s="1"/>
      <c r="I25" s="4"/>
      <c r="J25" s="61"/>
      <c r="K25" s="4"/>
      <c r="L25" s="1"/>
      <c r="M25" s="1"/>
      <c r="N25" s="1"/>
      <c r="O25" s="1"/>
      <c r="P25" s="26"/>
      <c r="Q25" s="45"/>
      <c r="R25" s="45"/>
      <c r="S25" s="44"/>
      <c r="T25" s="44"/>
      <c r="U25" s="44"/>
      <c r="V25" s="44"/>
      <c r="W25" s="44"/>
      <c r="X25" s="44"/>
      <c r="Y25" s="44"/>
      <c r="Z25" s="44"/>
      <c r="AA25" s="47"/>
      <c r="AB25" s="13"/>
      <c r="AC25" s="13"/>
      <c r="AD25" s="13"/>
    </row>
    <row r="26" spans="1:35" x14ac:dyDescent="0.3">
      <c r="A26" s="1"/>
      <c r="B26" s="25"/>
      <c r="C26" s="54" t="s">
        <v>1</v>
      </c>
      <c r="D26" s="54"/>
      <c r="E26" s="54"/>
      <c r="F26" s="1"/>
      <c r="G26" s="1"/>
      <c r="H26" s="1"/>
      <c r="I26" s="1"/>
      <c r="J26" s="61"/>
      <c r="K26" s="1"/>
      <c r="L26" s="1"/>
      <c r="M26" s="1"/>
      <c r="N26" s="1"/>
      <c r="O26" s="1"/>
      <c r="P26" s="26"/>
      <c r="Q26" s="45"/>
      <c r="R26" s="45"/>
      <c r="S26" s="44"/>
      <c r="T26" s="44"/>
      <c r="U26" s="44"/>
      <c r="V26" s="44"/>
      <c r="W26" s="44"/>
      <c r="X26" s="44"/>
      <c r="Y26" s="44"/>
      <c r="Z26" s="44"/>
      <c r="AA26" s="47"/>
      <c r="AB26" s="13"/>
      <c r="AC26" s="13"/>
      <c r="AD26" s="13"/>
    </row>
    <row r="27" spans="1:35" x14ac:dyDescent="0.3">
      <c r="A27" s="1"/>
      <c r="B27" s="25"/>
      <c r="C27" s="8" t="s">
        <v>17</v>
      </c>
      <c r="D27" s="9">
        <f>IF(E8="Special",1.25,1)</f>
        <v>1.25</v>
      </c>
      <c r="E27" s="1"/>
      <c r="F27" s="1"/>
      <c r="G27" s="58" t="s">
        <v>10</v>
      </c>
      <c r="H27" s="59"/>
      <c r="I27" s="39"/>
      <c r="J27" s="61"/>
      <c r="K27" s="1"/>
      <c r="L27" s="1"/>
      <c r="M27" s="1"/>
      <c r="N27" s="1"/>
      <c r="O27" s="1"/>
      <c r="P27" s="26"/>
      <c r="Q27" s="1"/>
      <c r="R27" s="1"/>
      <c r="AB27" s="13"/>
      <c r="AC27" s="13"/>
      <c r="AD27" s="13"/>
    </row>
    <row r="28" spans="1:35" x14ac:dyDescent="0.3">
      <c r="A28" s="1"/>
      <c r="B28" s="25"/>
      <c r="C28" s="18" t="s">
        <v>36</v>
      </c>
      <c r="D28" s="9">
        <f>IF(E8="Special",0.85,0.75)</f>
        <v>0.85</v>
      </c>
      <c r="E28" s="1"/>
      <c r="F28" s="1"/>
      <c r="G28" s="41"/>
      <c r="H28" s="42"/>
      <c r="I28" s="39"/>
      <c r="J28" s="38"/>
      <c r="K28" s="1"/>
      <c r="L28" s="1"/>
      <c r="M28" s="1"/>
      <c r="N28" s="1"/>
      <c r="O28" s="1"/>
      <c r="P28" s="26"/>
      <c r="Q28" s="1"/>
      <c r="R28" s="1"/>
      <c r="AB28" s="13"/>
      <c r="AC28" s="13"/>
      <c r="AD28" s="13"/>
    </row>
    <row r="29" spans="1:35" ht="16.2" x14ac:dyDescent="0.3">
      <c r="A29" s="1"/>
      <c r="B29" s="25"/>
      <c r="C29" s="8" t="s">
        <v>19</v>
      </c>
      <c r="D29" s="10">
        <f>MAX(L17+H21,H17+L21)*D27*D12*10^-3</f>
        <v>150.20000000000002</v>
      </c>
      <c r="E29" s="39" t="s">
        <v>34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26"/>
      <c r="Y29" s="20"/>
      <c r="Z29" s="21"/>
      <c r="AA29" s="17"/>
      <c r="AB29" s="13"/>
      <c r="AC29" s="13"/>
      <c r="AD29" s="13"/>
    </row>
    <row r="30" spans="1:35" ht="16.2" x14ac:dyDescent="0.3">
      <c r="A30" s="1"/>
      <c r="B30" s="25"/>
      <c r="C30" s="8" t="s">
        <v>21</v>
      </c>
      <c r="D30" s="19">
        <f>IF(D15=0,0,(MAX(H18+L22,L18+H22))*2/(D14+D15))</f>
        <v>0</v>
      </c>
      <c r="E30" s="39" t="s">
        <v>34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26"/>
      <c r="Q30" s="1"/>
      <c r="R30" s="1"/>
      <c r="Y30" s="14"/>
      <c r="Z30" s="3"/>
      <c r="AA30" s="11"/>
      <c r="AB30" s="2"/>
      <c r="AC30" s="13"/>
      <c r="AD30" s="13"/>
    </row>
    <row r="31" spans="1:35" ht="16.2" x14ac:dyDescent="0.3">
      <c r="A31" s="1"/>
      <c r="B31" s="25"/>
      <c r="C31" s="8" t="s">
        <v>22</v>
      </c>
      <c r="D31" s="19">
        <f>D29-D30</f>
        <v>150.20000000000002</v>
      </c>
      <c r="E31" s="39" t="s">
        <v>34</v>
      </c>
      <c r="F31" s="39"/>
      <c r="G31" s="1"/>
      <c r="H31" s="1"/>
      <c r="I31" s="1"/>
      <c r="J31" s="1"/>
      <c r="K31" s="1"/>
      <c r="L31" s="1"/>
      <c r="M31" s="1"/>
      <c r="N31" s="1"/>
      <c r="O31" s="1"/>
      <c r="P31" s="26"/>
      <c r="Z31" s="5"/>
      <c r="AA31" s="5"/>
      <c r="AB31" s="5"/>
      <c r="AC31" s="5"/>
      <c r="AD31" s="5"/>
    </row>
    <row r="32" spans="1:35" ht="16.2" x14ac:dyDescent="0.3">
      <c r="A32" s="1"/>
      <c r="B32" s="25"/>
      <c r="C32" s="9" t="s">
        <v>24</v>
      </c>
      <c r="D32" s="19">
        <f>MIN(MIN(D19,D22)+D18,MIN(D19,D22)+2*D16,D17)*D18</f>
        <v>3600</v>
      </c>
      <c r="E32" s="39" t="s">
        <v>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26"/>
      <c r="Z32" s="5"/>
      <c r="AA32" s="5"/>
      <c r="AB32" s="5"/>
      <c r="AC32" s="5"/>
      <c r="AD32" s="5"/>
    </row>
    <row r="33" spans="1:30" ht="15.6" x14ac:dyDescent="0.3">
      <c r="A33" s="1"/>
      <c r="B33" s="25"/>
      <c r="C33" s="18" t="s">
        <v>35</v>
      </c>
      <c r="D33" s="10">
        <f>IF(E8="Special",MAX(AM4:AM11),IF(E8="Intermediate",MAX(AJ4:AJ11),MAX(AG4:AG11)))</f>
        <v>280.90399997152059</v>
      </c>
      <c r="E33" s="39" t="s">
        <v>34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26"/>
      <c r="Z33" s="3"/>
      <c r="AA33" s="13"/>
      <c r="AB33" s="2"/>
      <c r="AC33" s="13"/>
      <c r="AD33" s="13"/>
    </row>
    <row r="34" spans="1:30" x14ac:dyDescent="0.3">
      <c r="A34" s="1"/>
      <c r="B34" s="25"/>
      <c r="C34" s="18" t="s">
        <v>25</v>
      </c>
      <c r="D34" s="9">
        <f>ROUNDUP(D31/D33,2)</f>
        <v>0.54</v>
      </c>
      <c r="E34" s="39" t="str">
        <f>IF(D34&lt;=1,"O.K","N.G")</f>
        <v>O.K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26"/>
      <c r="Z34" s="15"/>
      <c r="AA34" s="13"/>
      <c r="AB34" s="13"/>
      <c r="AC34" s="13"/>
      <c r="AD34" s="13"/>
    </row>
    <row r="35" spans="1:30" ht="15" thickBot="1" x14ac:dyDescent="0.3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Z35" s="15"/>
      <c r="AA35" s="13"/>
      <c r="AB35" s="13"/>
      <c r="AC35" s="13"/>
      <c r="AD35" s="13"/>
    </row>
    <row r="36" spans="1:30" x14ac:dyDescent="0.3">
      <c r="A36" s="1"/>
      <c r="B36" s="1"/>
      <c r="Z36" s="15"/>
      <c r="AA36" s="13"/>
      <c r="AB36" s="13"/>
      <c r="AC36" s="13"/>
      <c r="AD36" s="13"/>
    </row>
    <row r="37" spans="1:30" x14ac:dyDescent="0.3">
      <c r="Z37" s="13"/>
      <c r="AA37" s="13"/>
      <c r="AB37" s="13"/>
      <c r="AC37" s="13"/>
      <c r="AD37" s="13"/>
    </row>
    <row r="38" spans="1:30" x14ac:dyDescent="0.3">
      <c r="Z38" s="13"/>
      <c r="AA38" s="13"/>
      <c r="AB38" s="13"/>
      <c r="AC38" s="13"/>
      <c r="AD38" s="13"/>
    </row>
    <row r="39" spans="1:30" x14ac:dyDescent="0.3">
      <c r="Z39" s="13"/>
      <c r="AA39" s="13"/>
      <c r="AB39" s="13"/>
      <c r="AC39" s="13"/>
      <c r="AD39" s="13"/>
    </row>
  </sheetData>
  <sheetProtection algorithmName="SHA-512" hashValue="0JhRV5AcC6WRz1wYKUA2H0GFD1M/Yx7b9KG/ffKu1/LqZsLECbBQKEL+uYP8Xes2YsXGd99fT6GRV3pKKC9KFA==" saltValue="Wu+pp9lGkuj3DUnyRRLkqw==" spinCount="100000" sheet="1" objects="1" scenarios="1"/>
  <mergeCells count="30">
    <mergeCell ref="L3:N3"/>
    <mergeCell ref="K19:M20"/>
    <mergeCell ref="J21:J27"/>
    <mergeCell ref="C26:E26"/>
    <mergeCell ref="G27:H27"/>
    <mergeCell ref="F3:J4"/>
    <mergeCell ref="C6:E6"/>
    <mergeCell ref="C8:D8"/>
    <mergeCell ref="E8:F8"/>
    <mergeCell ref="C9:D9"/>
    <mergeCell ref="E9:F9"/>
    <mergeCell ref="C11:F11"/>
    <mergeCell ref="G11:H11"/>
    <mergeCell ref="J13:J18"/>
    <mergeCell ref="G19:I20"/>
    <mergeCell ref="J19:J20"/>
    <mergeCell ref="C10:D10"/>
    <mergeCell ref="E10:F10"/>
    <mergeCell ref="AC4:AD4"/>
    <mergeCell ref="AC5:AD5"/>
    <mergeCell ref="AC6:AD6"/>
    <mergeCell ref="AC7:AD7"/>
    <mergeCell ref="AC8:AD8"/>
    <mergeCell ref="AC9:AD9"/>
    <mergeCell ref="AC10:AD10"/>
    <mergeCell ref="AC11:AD11"/>
    <mergeCell ref="AI3:AJ3"/>
    <mergeCell ref="AF3:AG3"/>
    <mergeCell ref="AL3:AM3"/>
    <mergeCell ref="AC3:AD3"/>
  </mergeCells>
  <conditionalFormatting sqref="E34">
    <cfRule type="expression" dxfId="1" priority="1">
      <formula>$D$34&lt;=1</formula>
    </cfRule>
    <cfRule type="expression" dxfId="0" priority="2">
      <formula>$D$34&gt;1</formula>
    </cfRule>
  </conditionalFormatting>
  <dataValidations disablePrompts="1" count="3">
    <dataValidation type="list" allowBlank="1" showInputMessage="1" showErrorMessage="1" sqref="E9:F10" xr:uid="{00000000-0002-0000-0100-000000000000}">
      <formula1>"Continuous,Other"</formula1>
    </dataValidation>
    <dataValidation type="list" allowBlank="1" showInputMessage="1" showErrorMessage="1" sqref="G11:H11" xr:uid="{00000000-0002-0000-0100-000001000000}">
      <formula1>"Confined,Not Confined"</formula1>
    </dataValidation>
    <dataValidation type="list" allowBlank="1" showInputMessage="1" showErrorMessage="1" sqref="E8:F8" xr:uid="{00000000-0002-0000-0100-000002000000}">
      <formula1>"Ordinary,Intermediate,Special"</formula1>
    </dataValidation>
  </dataValidations>
  <hyperlinks>
    <hyperlink ref="L3" r:id="rId1" xr:uid="{FA3F28E1-D04F-4526-802B-BFD30130A8FF}"/>
  </hyperlinks>
  <printOptions horizontalCentered="1"/>
  <pageMargins left="0.25" right="0.25" top="0.5" bottom="0.25" header="0.3" footer="0.05"/>
  <pageSetup paperSize="9" scale="67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ACI318M-14</vt:lpstr>
      <vt:lpstr>ACI318M-19</vt:lpstr>
      <vt:lpstr>'ACI318M-14'!Print_Area</vt:lpstr>
      <vt:lpstr>'ACI318M-19'!Print_Area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Inception</dc:creator>
  <cp:lastModifiedBy>U01</cp:lastModifiedBy>
  <cp:lastPrinted>2020-08-06T06:51:22Z</cp:lastPrinted>
  <dcterms:created xsi:type="dcterms:W3CDTF">2011-07-03T05:32:36Z</dcterms:created>
  <dcterms:modified xsi:type="dcterms:W3CDTF">2020-08-06T06:56:57Z</dcterms:modified>
</cp:coreProperties>
</file>