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20" windowWidth="11460" windowHeight="4248" activeTab="1"/>
  </bookViews>
  <sheets>
    <sheet name="Slender Walls phi" sheetId="1" r:id="rId1"/>
    <sheet name="Shear Check" sheetId="4" r:id="rId2"/>
  </sheets>
  <calcPr calcId="145621"/>
</workbook>
</file>

<file path=xl/calcChain.xml><?xml version="1.0" encoding="utf-8"?>
<calcChain xmlns="http://schemas.openxmlformats.org/spreadsheetml/2006/main">
  <c r="O9" i="4" l="1"/>
  <c r="O10" i="4"/>
  <c r="O11" i="4"/>
  <c r="O12" i="4"/>
  <c r="O13" i="4"/>
  <c r="O14" i="4"/>
  <c r="O15" i="4"/>
  <c r="O16" i="4"/>
  <c r="O17" i="4"/>
  <c r="O8" i="4"/>
  <c r="E9" i="4" l="1"/>
  <c r="E10" i="4"/>
  <c r="E11" i="4"/>
  <c r="E12" i="4"/>
  <c r="E13" i="4"/>
  <c r="E14" i="4"/>
  <c r="E15" i="4"/>
  <c r="E16" i="4"/>
  <c r="E17" i="4"/>
  <c r="E8" i="4"/>
  <c r="B4" i="4"/>
  <c r="F16" i="4" l="1"/>
  <c r="G8" i="4" l="1"/>
  <c r="G16" i="4"/>
  <c r="F9" i="4"/>
  <c r="F11" i="4"/>
  <c r="F13" i="4"/>
  <c r="F15" i="4"/>
  <c r="F17" i="4"/>
  <c r="G12" i="4"/>
  <c r="F1" i="4"/>
  <c r="F2" i="4" s="1"/>
  <c r="G9" i="4"/>
  <c r="G17" i="4"/>
  <c r="G10" i="4"/>
  <c r="G14" i="4"/>
  <c r="G11" i="4"/>
  <c r="G13" i="4"/>
  <c r="G15" i="4"/>
  <c r="F8" i="4"/>
  <c r="F10" i="4"/>
  <c r="F12" i="4"/>
  <c r="F14" i="4"/>
  <c r="J17" i="1"/>
  <c r="J16" i="1"/>
  <c r="J15" i="1"/>
  <c r="J13" i="1"/>
  <c r="J12" i="1"/>
  <c r="L5" i="1"/>
  <c r="L4" i="1"/>
  <c r="M4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  <c r="D17" i="4" l="1"/>
  <c r="H17" i="4" s="1"/>
  <c r="I17" i="4" s="1"/>
  <c r="D15" i="4"/>
  <c r="H15" i="4" s="1"/>
  <c r="I15" i="4" s="1"/>
  <c r="D13" i="4"/>
  <c r="H13" i="4" s="1"/>
  <c r="I13" i="4" s="1"/>
  <c r="D11" i="4"/>
  <c r="H11" i="4" s="1"/>
  <c r="I11" i="4" s="1"/>
  <c r="D9" i="4"/>
  <c r="H9" i="4" s="1"/>
  <c r="I9" i="4" s="1"/>
  <c r="D10" i="4"/>
  <c r="H10" i="4" s="1"/>
  <c r="I10" i="4" s="1"/>
  <c r="D8" i="4"/>
  <c r="H8" i="4" s="1"/>
  <c r="I8" i="4" s="1"/>
  <c r="D16" i="4"/>
  <c r="H16" i="4" s="1"/>
  <c r="I16" i="4" s="1"/>
  <c r="D14" i="4"/>
  <c r="H14" i="4" s="1"/>
  <c r="I14" i="4" s="1"/>
  <c r="D12" i="4"/>
  <c r="H12" i="4" s="1"/>
  <c r="I12" i="4" s="1"/>
  <c r="O4" i="1"/>
  <c r="N4" i="1"/>
  <c r="M5" i="1"/>
  <c r="N5" i="1" l="1"/>
  <c r="O5" i="1"/>
  <c r="J6" i="1" l="1"/>
  <c r="J7" i="1" s="1"/>
  <c r="J18" i="1" s="1"/>
  <c r="J19" i="1" s="1"/>
</calcChain>
</file>

<file path=xl/sharedStrings.xml><?xml version="1.0" encoding="utf-8"?>
<sst xmlns="http://schemas.openxmlformats.org/spreadsheetml/2006/main" count="52" uniqueCount="42">
  <si>
    <t>Ppr</t>
  </si>
  <si>
    <t>Mpr=</t>
  </si>
  <si>
    <t>P</t>
  </si>
  <si>
    <t>M2</t>
  </si>
  <si>
    <t>M3</t>
  </si>
  <si>
    <t>Pu=</t>
  </si>
  <si>
    <t>Mu=</t>
  </si>
  <si>
    <t>ton</t>
  </si>
  <si>
    <t>ton.m</t>
  </si>
  <si>
    <t>row number</t>
  </si>
  <si>
    <t>Mpr</t>
  </si>
  <si>
    <r>
      <rPr>
        <sz val="11"/>
        <color theme="1"/>
        <rFont val="GreekC"/>
      </rPr>
      <t>Ω</t>
    </r>
    <r>
      <rPr>
        <sz val="11"/>
        <color theme="1"/>
        <rFont val="Calibri"/>
        <family val="2"/>
      </rPr>
      <t>=</t>
    </r>
  </si>
  <si>
    <t>n=</t>
  </si>
  <si>
    <t>hw=</t>
  </si>
  <si>
    <t>m</t>
  </si>
  <si>
    <t>n(eq)=</t>
  </si>
  <si>
    <t>N=</t>
  </si>
  <si>
    <t>Static</t>
  </si>
  <si>
    <t>Dynamic</t>
  </si>
  <si>
    <t>Analysis Type=</t>
  </si>
  <si>
    <r>
      <rPr>
        <sz val="11"/>
        <color theme="1"/>
        <rFont val="GreekC"/>
      </rPr>
      <t>w</t>
    </r>
    <r>
      <rPr>
        <sz val="11"/>
        <color theme="1"/>
        <rFont val="Calibri"/>
        <family val="2"/>
        <scheme val="minor"/>
      </rPr>
      <t>-static=</t>
    </r>
  </si>
  <si>
    <r>
      <rPr>
        <sz val="11"/>
        <color theme="1"/>
        <rFont val="GreekC"/>
      </rPr>
      <t>w</t>
    </r>
    <r>
      <rPr>
        <sz val="11"/>
        <color theme="1"/>
        <rFont val="Calibri"/>
        <family val="2"/>
        <scheme val="minor"/>
      </rPr>
      <t>-Dynamic=</t>
    </r>
  </si>
  <si>
    <r>
      <rPr>
        <sz val="11"/>
        <color theme="1"/>
        <rFont val="GreekC"/>
      </rPr>
      <t>w</t>
    </r>
    <r>
      <rPr>
        <sz val="11"/>
        <color theme="1"/>
        <rFont val="Calibri"/>
        <family val="2"/>
        <scheme val="minor"/>
      </rPr>
      <t>=</t>
    </r>
  </si>
  <si>
    <r>
      <rPr>
        <sz val="11"/>
        <color theme="1"/>
        <rFont val="GreekC"/>
      </rPr>
      <t>ωΩ</t>
    </r>
    <r>
      <rPr>
        <sz val="11"/>
        <color theme="1"/>
        <rFont val="Calibri"/>
        <family val="2"/>
      </rPr>
      <t>=</t>
    </r>
  </si>
  <si>
    <t>∅=</t>
  </si>
  <si>
    <t>fc=</t>
  </si>
  <si>
    <t>Mpa</t>
  </si>
  <si>
    <t>hw/lw=</t>
  </si>
  <si>
    <t>fy=</t>
  </si>
  <si>
    <r>
      <rPr>
        <sz val="11"/>
        <color theme="1"/>
        <rFont val="GreekC"/>
      </rPr>
      <t>a</t>
    </r>
    <r>
      <rPr>
        <sz val="11"/>
        <color theme="1"/>
        <rFont val="Calibri"/>
        <family val="2"/>
        <scheme val="minor"/>
      </rPr>
      <t>-Correct=</t>
    </r>
  </si>
  <si>
    <t>Yes</t>
  </si>
  <si>
    <t>lw=</t>
  </si>
  <si>
    <t>No</t>
  </si>
  <si>
    <r>
      <rPr>
        <sz val="11"/>
        <color theme="1"/>
        <rFont val="GreekC"/>
      </rPr>
      <t>f</t>
    </r>
    <r>
      <rPr>
        <sz val="11"/>
        <color theme="1"/>
        <rFont val="Calibri"/>
        <family val="2"/>
        <scheme val="minor"/>
      </rPr>
      <t>(ETABS)=</t>
    </r>
  </si>
  <si>
    <t>Story Number</t>
  </si>
  <si>
    <t>Wall Thickness (cm)</t>
  </si>
  <si>
    <t>Vu (ton)</t>
  </si>
  <si>
    <r>
      <rPr>
        <sz val="11"/>
        <color theme="1"/>
        <rFont val="GreekC"/>
      </rPr>
      <t>f</t>
    </r>
    <r>
      <rPr>
        <sz val="11"/>
        <color theme="1"/>
        <rFont val="Calibri"/>
        <family val="2"/>
        <scheme val="minor"/>
      </rPr>
      <t>Vc (ton)</t>
    </r>
  </si>
  <si>
    <r>
      <rPr>
        <sz val="11"/>
        <color theme="1"/>
        <rFont val="GreekC"/>
      </rPr>
      <t>f</t>
    </r>
    <r>
      <rPr>
        <sz val="11"/>
        <color theme="1"/>
        <rFont val="Calibri"/>
        <family val="2"/>
        <scheme val="minor"/>
      </rPr>
      <t>Vs (ton)</t>
    </r>
  </si>
  <si>
    <r>
      <rPr>
        <sz val="11"/>
        <color theme="1"/>
        <rFont val="GreekC"/>
      </rPr>
      <t>r</t>
    </r>
    <r>
      <rPr>
        <sz val="11"/>
        <color theme="1"/>
        <rFont val="Calibri"/>
        <family val="2"/>
        <scheme val="minor"/>
      </rPr>
      <t>-t</t>
    </r>
  </si>
  <si>
    <r>
      <t>Shear Reinforcement (Correct) 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</t>
    </r>
  </si>
  <si>
    <t>از استثنائات بند 9-20-7-3-1 صرف نظر شده است.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</si>
</sst>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GreekC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4"/>
      <color theme="1"/>
      <name val="B Lotus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 applyAlignment="1">
      <alignment vertical="center" wrapText="1"/>
    </xf>
    <xf numFmtId="0" fontId="2" fillId="0" borderId="0" xfId="0" applyFont="1"/>
    <xf numFmtId="0" fontId="0" fillId="4" borderId="0" xfId="0" applyFill="1"/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5" borderId="0" xfId="0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1257300</xdr:colOff>
      <xdr:row>6</xdr:row>
      <xdr:rowOff>53340</xdr:rowOff>
    </xdr:from>
    <xdr:ext cx="1386840" cy="297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554980" y="1211580"/>
              <a:ext cx="1386840" cy="297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1100" b="0" i="1">
                          <a:latin typeface="Cambria Math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𝑉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𝑢</m:t>
                      </m:r>
                    </m:sub>
                  </m:sSub>
                  <m:r>
                    <a:rPr lang="en-US" sz="1100" b="0" i="1">
                      <a:latin typeface="Cambria Math"/>
                    </a:rPr>
                    <m:t>≤</m:t>
                  </m:r>
                  <m:r>
                    <a:rPr lang="en-US" sz="1100" b="0" i="1">
                      <a:latin typeface="Cambria Math"/>
                    </a:rPr>
                    <m:t>𝜙</m:t>
                  </m:r>
                  <m:r>
                    <a:rPr lang="en-US" sz="1100" b="0" i="1">
                      <a:latin typeface="Cambria Math"/>
                    </a:rPr>
                    <m:t>0.83</m:t>
                  </m:r>
                  <m:rad>
                    <m:radPr>
                      <m:degHide m:val="on"/>
                      <m:ctrlPr>
                        <a:rPr lang="en-US" sz="1100" b="0" i="1">
                          <a:latin typeface="Cambria Math"/>
                        </a:rPr>
                      </m:ctrlPr>
                    </m:radPr>
                    <m:deg/>
                    <m:e>
                      <m:sSubSup>
                        <m:sSubSupPr>
                          <m:ctrlPr>
                            <a:rPr lang="en-US" sz="1100" b="0" i="1">
                              <a:latin typeface="Cambria Math"/>
                            </a:rPr>
                          </m:ctrlPr>
                        </m:sSubSupPr>
                        <m:e>
                          <m:r>
                            <a:rPr lang="en-US" sz="1100" b="0" i="1">
                              <a:latin typeface="Cambria Math"/>
                            </a:rPr>
                            <m:t>𝑓</m:t>
                          </m:r>
                        </m:e>
                        <m:sub>
                          <m:r>
                            <a:rPr lang="en-US" sz="1100" b="0" i="1">
                              <a:latin typeface="Cambria Math"/>
                            </a:rPr>
                            <m:t>𝑐</m:t>
                          </m:r>
                        </m:sub>
                        <m:sup>
                          <m:r>
                            <a:rPr lang="en-US" sz="1100" b="0" i="1">
                              <a:latin typeface="Cambria Math"/>
                            </a:rPr>
                            <m:t>′</m:t>
                          </m:r>
                        </m:sup>
                      </m:sSubSup>
                    </m:e>
                  </m:rad>
                  <m:sSub>
                    <m:sSubPr>
                      <m:ctrlPr>
                        <a:rPr lang="en-US" sz="1100" b="0" i="1">
                          <a:latin typeface="Cambria Math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𝐴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𝐶𝑊</m:t>
                      </m:r>
                    </m:sub>
                  </m:sSub>
                </m:oMath>
              </a14:m>
              <a:r>
                <a:rPr lang="en-US" sz="1100" baseline="0"/>
                <a:t> </a:t>
              </a:r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554980" y="1211580"/>
              <a:ext cx="1386840" cy="297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𝑉_𝑢≤𝜙0.83√(𝑓_𝑐^′ ) 𝐴_𝐶𝑊</a:t>
              </a:r>
              <a:r>
                <a:rPr lang="en-US" sz="1100" baseline="0"/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701040</xdr:colOff>
      <xdr:row>6</xdr:row>
      <xdr:rowOff>38100</xdr:rowOff>
    </xdr:from>
    <xdr:ext cx="1371600" cy="297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4282440" y="1196340"/>
              <a:ext cx="1371600" cy="297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en-US" sz="1100" b="0" i="1">
                          <a:latin typeface="Cambria Math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𝑉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𝑢</m:t>
                      </m:r>
                    </m:sub>
                  </m:sSub>
                  <m:r>
                    <a:rPr lang="en-US" sz="1100" b="0" i="1">
                      <a:latin typeface="Cambria Math"/>
                    </a:rPr>
                    <m:t>≤</m:t>
                  </m:r>
                  <m:r>
                    <a:rPr lang="en-US" sz="1100" b="0" i="1">
                      <a:latin typeface="Cambria Math"/>
                    </a:rPr>
                    <m:t>𝜙</m:t>
                  </m:r>
                  <m:r>
                    <a:rPr lang="en-US" sz="1100" b="0" i="1">
                      <a:latin typeface="Cambria Math"/>
                    </a:rPr>
                    <m:t>0.66</m:t>
                  </m:r>
                  <m:rad>
                    <m:radPr>
                      <m:degHide m:val="on"/>
                      <m:ctrlPr>
                        <a:rPr lang="en-US" sz="1100" b="0" i="1">
                          <a:latin typeface="Cambria Math"/>
                        </a:rPr>
                      </m:ctrlPr>
                    </m:radPr>
                    <m:deg/>
                    <m:e>
                      <m:sSubSup>
                        <m:sSubSupPr>
                          <m:ctrlPr>
                            <a:rPr lang="en-US" sz="1100" b="0" i="1">
                              <a:latin typeface="Cambria Math"/>
                            </a:rPr>
                          </m:ctrlPr>
                        </m:sSubSupPr>
                        <m:e>
                          <m:r>
                            <a:rPr lang="en-US" sz="1100" b="0" i="1">
                              <a:latin typeface="Cambria Math"/>
                            </a:rPr>
                            <m:t>𝑓</m:t>
                          </m:r>
                        </m:e>
                        <m:sub>
                          <m:r>
                            <a:rPr lang="en-US" sz="1100" b="0" i="1">
                              <a:latin typeface="Cambria Math"/>
                            </a:rPr>
                            <m:t>𝑐</m:t>
                          </m:r>
                        </m:sub>
                        <m:sup>
                          <m:r>
                            <a:rPr lang="en-US" sz="1100" b="0" i="1">
                              <a:latin typeface="Cambria Math"/>
                            </a:rPr>
                            <m:t>′</m:t>
                          </m:r>
                        </m:sup>
                      </m:sSubSup>
                    </m:e>
                  </m:rad>
                  <m:sSub>
                    <m:sSubPr>
                      <m:ctrlPr>
                        <a:rPr lang="en-US" sz="1100" b="0" i="1">
                          <a:latin typeface="Cambria Math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𝐴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𝐶𝑉</m:t>
                      </m:r>
                    </m:sub>
                  </m:sSub>
                </m:oMath>
              </a14:m>
              <a:r>
                <a:rPr lang="en-US" sz="1100" baseline="0"/>
                <a:t> </a:t>
              </a:r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4282440" y="1196340"/>
              <a:ext cx="1371600" cy="297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𝑉_𝑢≤𝜙0.66√(𝑓_𝑐^′ ) 𝐴_𝐶𝑉</a:t>
              </a:r>
              <a:r>
                <a:rPr lang="en-US" sz="1100" baseline="0"/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99060</xdr:colOff>
      <xdr:row>4</xdr:row>
      <xdr:rowOff>274085</xdr:rowOff>
    </xdr:from>
    <xdr:ext cx="853440" cy="63549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9486900" y="1036085"/>
              <a:ext cx="853440" cy="6354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/>
                                <a:ea typeface="Cambria Math"/>
                              </a:rPr>
                              <m:t>𝜔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𝑣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l-GR" sz="1100" b="0" i="1">
                                <a:latin typeface="Cambria Math"/>
                                <a:ea typeface="Cambria Math"/>
                              </a:rPr>
                              <m:t>Ω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𝑣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𝑢</m:t>
                            </m:r>
                          </m:sub>
                        </m:sSub>
                      </m:num>
                      <m:den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0.66</m:t>
                        </m:r>
                        <m:rad>
                          <m:radPr>
                            <m:degHide m:val="on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sSubSup>
                              <m:sSubSup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  <m:sup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′</m:t>
                                </m:r>
                              </m:sup>
                            </m:sSubSup>
                          </m:e>
                        </m:rad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𝐶𝑉</m:t>
                            </m:r>
                          </m:sub>
                        </m:sSub>
                        <m:r>
                          <m:rPr>
                            <m:nor/>
                          </m:rPr>
                          <a:rPr lang="en-US" sz="1100" baseline="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 </m:t>
                        </m:r>
                        <m:r>
                          <m:rPr>
                            <m:nor/>
                          </m:rPr>
                          <a:rPr lang="en-US">
                            <a:effectLst/>
                          </a:rPr>
                          <m:t> 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9486900" y="1036085"/>
              <a:ext cx="853440" cy="6354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  <a:ea typeface="Cambria Math"/>
                </a:rPr>
                <a:t>𝜔_</a:t>
              </a:r>
              <a:r>
                <a:rPr lang="en-US" sz="1100" b="0" i="0">
                  <a:latin typeface="Cambria Math"/>
                </a:rPr>
                <a:t>𝑣 </a:t>
              </a:r>
              <a:r>
                <a:rPr lang="el-GR" sz="1100" b="0" i="0">
                  <a:latin typeface="Cambria Math"/>
                  <a:ea typeface="Cambria Math"/>
                </a:rPr>
                <a:t>Ω</a:t>
              </a:r>
              <a:r>
                <a:rPr lang="en-US" sz="1100" b="0" i="0">
                  <a:latin typeface="Cambria Math"/>
                  <a:ea typeface="Cambria Math"/>
                </a:rPr>
                <a:t>_</a:t>
              </a:r>
              <a:r>
                <a:rPr lang="en-US" sz="1100" b="0" i="0">
                  <a:latin typeface="Cambria Math"/>
                </a:rPr>
                <a:t>𝑣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𝑉_𝑢)/(0.66√(𝑓_𝑐^′ ) 𝐴_𝐶𝑉</a:t>
              </a:r>
              <a:r>
                <a:rPr lang="en-US" sz="1100" b="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i="0">
                  <a:effectLst/>
                </a:rPr>
                <a:t> </a:t>
              </a:r>
              <a:r>
                <a:rPr lang="en-US" i="0">
                  <a:effectLst/>
                  <a:latin typeface="Cambria Math"/>
                </a:rPr>
                <a:t>" </a:t>
              </a:r>
              <a:r>
                <a:rPr lang="en-US" sz="1100" b="0" i="0">
                  <a:effectLst/>
                  <a:latin typeface="Cambria Math"/>
                </a:rPr>
                <a:t>)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P10" sqref="P10"/>
    </sheetView>
  </sheetViews>
  <sheetFormatPr defaultRowHeight="14.4" x14ac:dyDescent="0.3"/>
  <cols>
    <col min="6" max="8" width="0" hidden="1" customWidth="1"/>
    <col min="9" max="9" width="12.77734375" bestFit="1" customWidth="1"/>
    <col min="12" max="12" width="0" hidden="1" customWidth="1"/>
    <col min="13" max="13" width="10.88671875" hidden="1" customWidth="1"/>
    <col min="14" max="15" width="0" hidden="1" customWidth="1"/>
  </cols>
  <sheetData>
    <row r="1" spans="1:15" x14ac:dyDescent="0.3">
      <c r="B1" t="s">
        <v>2</v>
      </c>
      <c r="C1" t="s">
        <v>3</v>
      </c>
      <c r="D1" t="s">
        <v>4</v>
      </c>
      <c r="F1" t="s">
        <v>0</v>
      </c>
      <c r="G1" t="s">
        <v>10</v>
      </c>
    </row>
    <row r="2" spans="1:15" x14ac:dyDescent="0.3">
      <c r="A2" s="1">
        <v>1</v>
      </c>
      <c r="B2" s="1">
        <v>7558.4558999999999</v>
      </c>
      <c r="C2" s="1">
        <v>-5.1074000000000002</v>
      </c>
      <c r="D2" s="1">
        <v>767.47670000000005</v>
      </c>
      <c r="F2" s="3">
        <f>-B2</f>
        <v>-7558.4558999999999</v>
      </c>
      <c r="G2" s="3">
        <f t="shared" ref="G2:G24" si="0">IF($J$3="M2",ABS(C2),ABS(D2))</f>
        <v>767.47670000000005</v>
      </c>
    </row>
    <row r="3" spans="1:15" x14ac:dyDescent="0.3">
      <c r="A3" s="1">
        <v>2</v>
      </c>
      <c r="B3" s="1">
        <v>7558.4558999999999</v>
      </c>
      <c r="C3" s="1">
        <v>-5.1073000000000004</v>
      </c>
      <c r="D3" s="1">
        <v>3450.7082999999998</v>
      </c>
      <c r="F3" s="3">
        <f t="shared" ref="F3:F24" si="1">-B3</f>
        <v>-7558.4558999999999</v>
      </c>
      <c r="G3" s="3">
        <f t="shared" si="0"/>
        <v>3450.7082999999998</v>
      </c>
      <c r="I3" t="s">
        <v>1</v>
      </c>
      <c r="J3" s="4" t="s">
        <v>4</v>
      </c>
      <c r="M3" t="s">
        <v>9</v>
      </c>
      <c r="N3" t="s">
        <v>0</v>
      </c>
      <c r="O3" t="s">
        <v>10</v>
      </c>
    </row>
    <row r="4" spans="1:15" x14ac:dyDescent="0.3">
      <c r="A4" s="1">
        <v>3</v>
      </c>
      <c r="B4" s="1">
        <v>7558.4558999999999</v>
      </c>
      <c r="C4" s="1">
        <v>-5.1071999999999997</v>
      </c>
      <c r="D4" s="1">
        <v>5078.9067999999997</v>
      </c>
      <c r="F4" s="3">
        <f t="shared" si="1"/>
        <v>-7558.4558999999999</v>
      </c>
      <c r="G4" s="3">
        <f t="shared" si="0"/>
        <v>5078.9067999999997</v>
      </c>
      <c r="I4" t="s">
        <v>5</v>
      </c>
      <c r="J4" s="4">
        <v>541</v>
      </c>
      <c r="K4" t="s">
        <v>7</v>
      </c>
      <c r="L4" s="3">
        <f>-J4</f>
        <v>-541</v>
      </c>
      <c r="M4" s="3">
        <f>MATCH(L4,$F$2:$F$24)</f>
        <v>21</v>
      </c>
      <c r="N4" s="3">
        <f>INDEX($F$2:$F$24,M4)</f>
        <v>-749.90070000000003</v>
      </c>
      <c r="O4" s="3">
        <f>INDEX($G$2:$G$24,M4)</f>
        <v>5278.8321999999998</v>
      </c>
    </row>
    <row r="5" spans="1:15" x14ac:dyDescent="0.3">
      <c r="A5" s="1">
        <v>4</v>
      </c>
      <c r="B5" s="1">
        <v>7558.4558999999999</v>
      </c>
      <c r="C5" s="1">
        <v>-5.1071999999999997</v>
      </c>
      <c r="D5" s="1">
        <v>6171.3221000000003</v>
      </c>
      <c r="F5" s="3">
        <f t="shared" si="1"/>
        <v>-7558.4558999999999</v>
      </c>
      <c r="G5" s="3">
        <f t="shared" si="0"/>
        <v>6171.3221000000003</v>
      </c>
      <c r="I5" t="s">
        <v>6</v>
      </c>
      <c r="J5" s="4">
        <v>1598</v>
      </c>
      <c r="K5" t="s">
        <v>8</v>
      </c>
      <c r="L5" s="3">
        <f>ABS(J5)</f>
        <v>1598</v>
      </c>
      <c r="M5" s="3">
        <f>M4+1</f>
        <v>22</v>
      </c>
      <c r="N5" s="3">
        <f>INDEX($F$2:$F$24,M5)</f>
        <v>8.8292999999999999</v>
      </c>
      <c r="O5" s="3">
        <f>INDEX($G$2:$G$24,M5)</f>
        <v>2854.1500999999998</v>
      </c>
    </row>
    <row r="6" spans="1:15" x14ac:dyDescent="0.3">
      <c r="A6" s="1">
        <v>5</v>
      </c>
      <c r="B6" s="1">
        <v>7331.9229999999998</v>
      </c>
      <c r="C6" s="1">
        <v>-5.1071999999999997</v>
      </c>
      <c r="D6" s="1">
        <v>7145.2861000000003</v>
      </c>
      <c r="F6" s="3">
        <f t="shared" si="1"/>
        <v>-7331.9229999999998</v>
      </c>
      <c r="G6" s="3">
        <f t="shared" si="0"/>
        <v>7145.2861000000003</v>
      </c>
      <c r="I6" t="s">
        <v>1</v>
      </c>
      <c r="J6" s="5">
        <f>(L4-N4)/(N5-N4)*(O5-O4)+O4</f>
        <v>4611.2458544390356</v>
      </c>
      <c r="K6" t="s">
        <v>8</v>
      </c>
    </row>
    <row r="7" spans="1:15" ht="16.8" x14ac:dyDescent="0.45">
      <c r="A7" s="1">
        <v>6</v>
      </c>
      <c r="B7" s="1">
        <v>6943.4754000000003</v>
      </c>
      <c r="C7" s="1">
        <v>-5.1071999999999997</v>
      </c>
      <c r="D7" s="1">
        <v>7999.0392000000002</v>
      </c>
      <c r="F7" s="3">
        <f t="shared" si="1"/>
        <v>-6943.4754000000003</v>
      </c>
      <c r="G7" s="3">
        <f t="shared" si="0"/>
        <v>7999.0392000000002</v>
      </c>
      <c r="I7" s="2" t="s">
        <v>11</v>
      </c>
      <c r="J7" s="5">
        <f>MAX(1.5,ABS(J6/J5))</f>
        <v>2.8856357036539646</v>
      </c>
    </row>
    <row r="8" spans="1:15" x14ac:dyDescent="0.3">
      <c r="A8" s="1">
        <v>7</v>
      </c>
      <c r="B8" s="1">
        <v>6551.4319999999998</v>
      </c>
      <c r="C8" s="1">
        <v>-5.1071999999999997</v>
      </c>
      <c r="D8" s="1">
        <v>8735.5398999999998</v>
      </c>
      <c r="F8" s="3">
        <f t="shared" si="1"/>
        <v>-6551.4319999999998</v>
      </c>
      <c r="G8" s="3">
        <f t="shared" si="0"/>
        <v>8735.5398999999998</v>
      </c>
      <c r="J8" s="6"/>
    </row>
    <row r="9" spans="1:15" x14ac:dyDescent="0.3">
      <c r="A9" s="1">
        <v>8</v>
      </c>
      <c r="B9" s="1">
        <v>6155.0011999999997</v>
      </c>
      <c r="C9" s="1">
        <v>-5.1071999999999997</v>
      </c>
      <c r="D9" s="1">
        <v>9356.3240999999998</v>
      </c>
      <c r="F9" s="3">
        <f t="shared" si="1"/>
        <v>-6155.0011999999997</v>
      </c>
      <c r="G9" s="3">
        <f t="shared" si="0"/>
        <v>9356.3240999999998</v>
      </c>
      <c r="J9" s="6"/>
    </row>
    <row r="10" spans="1:15" x14ac:dyDescent="0.3">
      <c r="A10" s="1">
        <v>9</v>
      </c>
      <c r="B10" s="1">
        <v>5752.5826999999999</v>
      </c>
      <c r="C10" s="1">
        <v>-5.1071999999999997</v>
      </c>
      <c r="D10" s="1">
        <v>9863.9645</v>
      </c>
      <c r="F10" s="3">
        <f t="shared" si="1"/>
        <v>-5752.5826999999999</v>
      </c>
      <c r="G10" s="3">
        <f t="shared" si="0"/>
        <v>9863.9645</v>
      </c>
      <c r="I10" t="s">
        <v>12</v>
      </c>
      <c r="J10" s="4">
        <v>8</v>
      </c>
    </row>
    <row r="11" spans="1:15" x14ac:dyDescent="0.3">
      <c r="A11" s="1">
        <v>10</v>
      </c>
      <c r="B11" s="1">
        <v>5344.1532999999999</v>
      </c>
      <c r="C11" s="1">
        <v>-5.1071999999999997</v>
      </c>
      <c r="D11" s="1">
        <v>10260.2107</v>
      </c>
      <c r="F11" s="3">
        <f t="shared" si="1"/>
        <v>-5344.1532999999999</v>
      </c>
      <c r="G11" s="3">
        <f t="shared" si="0"/>
        <v>10260.2107</v>
      </c>
      <c r="I11" t="s">
        <v>13</v>
      </c>
      <c r="J11" s="4">
        <v>29.9</v>
      </c>
      <c r="K11" t="s">
        <v>14</v>
      </c>
    </row>
    <row r="12" spans="1:15" x14ac:dyDescent="0.3">
      <c r="A12" s="1">
        <v>11</v>
      </c>
      <c r="B12" s="1">
        <v>4927.4052000000001</v>
      </c>
      <c r="C12" s="1">
        <v>-5.1071999999999997</v>
      </c>
      <c r="D12" s="1">
        <v>10549.6808</v>
      </c>
      <c r="F12" s="3">
        <f t="shared" si="1"/>
        <v>-4927.4052000000001</v>
      </c>
      <c r="G12" s="3">
        <f t="shared" si="0"/>
        <v>10549.6808</v>
      </c>
      <c r="I12" t="s">
        <v>15</v>
      </c>
      <c r="J12" s="5">
        <f>0.28*J11</f>
        <v>8.3719999999999999</v>
      </c>
      <c r="N12" t="s">
        <v>17</v>
      </c>
    </row>
    <row r="13" spans="1:15" x14ac:dyDescent="0.3">
      <c r="A13" s="1">
        <v>12</v>
      </c>
      <c r="B13" s="1">
        <v>4497.5965999999999</v>
      </c>
      <c r="C13" s="1">
        <v>-5.0334000000000003</v>
      </c>
      <c r="D13" s="1">
        <v>10732.184499999999</v>
      </c>
      <c r="F13" s="3">
        <f t="shared" si="1"/>
        <v>-4497.5965999999999</v>
      </c>
      <c r="G13" s="3">
        <f t="shared" si="0"/>
        <v>10732.184499999999</v>
      </c>
      <c r="I13" t="s">
        <v>16</v>
      </c>
      <c r="J13" s="5">
        <f>MAX(J10,J12)</f>
        <v>8.3719999999999999</v>
      </c>
      <c r="N13" t="s">
        <v>18</v>
      </c>
    </row>
    <row r="14" spans="1:15" x14ac:dyDescent="0.3">
      <c r="A14" s="1">
        <v>13</v>
      </c>
      <c r="B14" s="1">
        <v>4074.0363000000002</v>
      </c>
      <c r="C14" s="1">
        <v>-4.9401000000000002</v>
      </c>
      <c r="D14" s="1">
        <v>10816.7997</v>
      </c>
      <c r="F14" s="3">
        <f t="shared" si="1"/>
        <v>-4074.0363000000002</v>
      </c>
      <c r="G14" s="3">
        <f t="shared" si="0"/>
        <v>10816.7997</v>
      </c>
      <c r="I14" t="s">
        <v>19</v>
      </c>
      <c r="J14" s="4" t="s">
        <v>17</v>
      </c>
    </row>
    <row r="15" spans="1:15" ht="16.8" x14ac:dyDescent="0.45">
      <c r="A15" s="1">
        <v>14</v>
      </c>
      <c r="B15" s="1">
        <v>3664.8506000000002</v>
      </c>
      <c r="C15" s="1">
        <v>-4.8259999999999996</v>
      </c>
      <c r="D15" s="1">
        <v>10706.5969</v>
      </c>
      <c r="F15" s="3">
        <f t="shared" si="1"/>
        <v>-3664.8506000000002</v>
      </c>
      <c r="G15" s="3">
        <f t="shared" si="0"/>
        <v>10706.5969</v>
      </c>
      <c r="I15" t="s">
        <v>20</v>
      </c>
      <c r="J15" s="5">
        <f>MIN(1.8,IF(J13&lt;=6,0.9+J13/10,1.3+J13/30))</f>
        <v>1.5790666666666668</v>
      </c>
    </row>
    <row r="16" spans="1:15" ht="16.8" x14ac:dyDescent="0.45">
      <c r="A16" s="1">
        <v>15</v>
      </c>
      <c r="B16" s="1">
        <v>3268.1316000000002</v>
      </c>
      <c r="C16" s="1">
        <v>-4.6833999999999998</v>
      </c>
      <c r="D16" s="1">
        <v>10408.633599999999</v>
      </c>
      <c r="F16" s="3">
        <f t="shared" si="1"/>
        <v>-3268.1316000000002</v>
      </c>
      <c r="G16" s="3">
        <f t="shared" si="0"/>
        <v>10408.633599999999</v>
      </c>
      <c r="I16" t="s">
        <v>21</v>
      </c>
      <c r="J16" s="5">
        <f>MIN(1.8,1.2+J13/50)</f>
        <v>1.36744</v>
      </c>
    </row>
    <row r="17" spans="1:10" ht="16.8" x14ac:dyDescent="0.45">
      <c r="A17" s="1">
        <v>16</v>
      </c>
      <c r="B17" s="1">
        <v>2870.2671</v>
      </c>
      <c r="C17" s="1">
        <v>-4.5000999999999998</v>
      </c>
      <c r="D17" s="1">
        <v>9967.8845000000001</v>
      </c>
      <c r="F17" s="3">
        <f t="shared" si="1"/>
        <v>-2870.2671</v>
      </c>
      <c r="G17" s="3">
        <f t="shared" si="0"/>
        <v>9967.8845000000001</v>
      </c>
      <c r="I17" t="s">
        <v>22</v>
      </c>
      <c r="J17" s="5">
        <f>IF(J14="Static",J15,MIN(J15,J16))</f>
        <v>1.5790666666666668</v>
      </c>
    </row>
    <row r="18" spans="1:10" ht="16.8" x14ac:dyDescent="0.45">
      <c r="A18" s="1">
        <v>17</v>
      </c>
      <c r="B18" s="1">
        <v>2469.7973000000002</v>
      </c>
      <c r="C18" s="1">
        <v>-4.2556000000000003</v>
      </c>
      <c r="D18" s="1">
        <v>9380.9308000000001</v>
      </c>
      <c r="F18" s="3">
        <f t="shared" si="1"/>
        <v>-2469.7973000000002</v>
      </c>
      <c r="G18" s="3">
        <f t="shared" si="0"/>
        <v>9380.9308000000001</v>
      </c>
      <c r="I18" s="2" t="s">
        <v>23</v>
      </c>
      <c r="J18" s="5">
        <f>MIN(3,J7*J17)</f>
        <v>3</v>
      </c>
    </row>
    <row r="19" spans="1:10" x14ac:dyDescent="0.3">
      <c r="A19" s="1">
        <v>18</v>
      </c>
      <c r="B19" s="1">
        <v>2065.2732999999998</v>
      </c>
      <c r="C19" s="1">
        <v>-3.9134000000000002</v>
      </c>
      <c r="D19" s="1">
        <v>8643.1288999999997</v>
      </c>
      <c r="F19" s="3">
        <f t="shared" si="1"/>
        <v>-2065.2732999999998</v>
      </c>
      <c r="G19" s="3">
        <f t="shared" si="0"/>
        <v>8643.1288999999997</v>
      </c>
      <c r="I19" s="2" t="s">
        <v>24</v>
      </c>
      <c r="J19" s="7">
        <f>0.75/J18</f>
        <v>0.25</v>
      </c>
    </row>
    <row r="20" spans="1:10" x14ac:dyDescent="0.3">
      <c r="A20" s="1">
        <v>19</v>
      </c>
      <c r="B20" s="1">
        <v>1653.8151</v>
      </c>
      <c r="C20" s="1">
        <v>-3.4</v>
      </c>
      <c r="D20" s="1">
        <v>7744.5973999999997</v>
      </c>
      <c r="F20" s="3">
        <f t="shared" si="1"/>
        <v>-1653.8151</v>
      </c>
      <c r="G20" s="3">
        <f t="shared" si="0"/>
        <v>7744.5973999999997</v>
      </c>
    </row>
    <row r="21" spans="1:10" x14ac:dyDescent="0.3">
      <c r="A21" s="1">
        <v>20</v>
      </c>
      <c r="B21" s="1">
        <v>1229.3905</v>
      </c>
      <c r="C21" s="1">
        <v>-2.5444</v>
      </c>
      <c r="D21" s="1">
        <v>6667.4368000000004</v>
      </c>
      <c r="F21" s="3">
        <f t="shared" si="1"/>
        <v>-1229.3905</v>
      </c>
      <c r="G21" s="3">
        <f t="shared" si="0"/>
        <v>6667.4368000000004</v>
      </c>
    </row>
    <row r="22" spans="1:10" x14ac:dyDescent="0.3">
      <c r="A22" s="1">
        <v>21</v>
      </c>
      <c r="B22" s="1">
        <v>749.90070000000003</v>
      </c>
      <c r="C22" s="1">
        <v>-0.83320000000000005</v>
      </c>
      <c r="D22" s="1">
        <v>5278.8321999999998</v>
      </c>
      <c r="F22" s="3">
        <f t="shared" si="1"/>
        <v>-749.90070000000003</v>
      </c>
      <c r="G22" s="3">
        <f t="shared" si="0"/>
        <v>5278.8321999999998</v>
      </c>
    </row>
    <row r="23" spans="1:10" x14ac:dyDescent="0.3">
      <c r="A23" s="1">
        <v>22</v>
      </c>
      <c r="B23" s="1">
        <v>-8.8292999999999999</v>
      </c>
      <c r="C23" s="1">
        <v>4.0354999999999999</v>
      </c>
      <c r="D23" s="1">
        <v>2854.1500999999998</v>
      </c>
      <c r="F23" s="3">
        <f t="shared" si="1"/>
        <v>8.8292999999999999</v>
      </c>
      <c r="G23" s="3">
        <f t="shared" si="0"/>
        <v>2854.1500999999998</v>
      </c>
    </row>
    <row r="24" spans="1:10" x14ac:dyDescent="0.3">
      <c r="A24" s="1">
        <v>23</v>
      </c>
      <c r="B24" s="1">
        <v>-1043.4256</v>
      </c>
      <c r="C24" s="1">
        <v>5.3723000000000001</v>
      </c>
      <c r="D24" s="1">
        <v>-807.28629999999998</v>
      </c>
      <c r="F24" s="3">
        <f t="shared" si="1"/>
        <v>1043.4256</v>
      </c>
      <c r="G24" s="3">
        <f t="shared" si="0"/>
        <v>807.28629999999998</v>
      </c>
    </row>
  </sheetData>
  <dataValidations count="2">
    <dataValidation type="list" allowBlank="1" showInputMessage="1" showErrorMessage="1" sqref="J3">
      <formula1>$C$1:$D$1</formula1>
    </dataValidation>
    <dataValidation type="list" allowBlank="1" showInputMessage="1" showErrorMessage="1" sqref="J14">
      <formula1>$N$12:$N$13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F4" sqref="F4"/>
    </sheetView>
  </sheetViews>
  <sheetFormatPr defaultRowHeight="14.4" x14ac:dyDescent="0.3"/>
  <cols>
    <col min="1" max="1" width="12.21875" style="8" bestFit="1" customWidth="1"/>
    <col min="2" max="2" width="12.77734375" style="8" customWidth="1"/>
    <col min="3" max="3" width="18.33203125" style="8" bestFit="1" customWidth="1"/>
    <col min="4" max="4" width="8.88671875" style="8"/>
    <col min="5" max="5" width="10.44140625" style="8" bestFit="1" customWidth="1"/>
    <col min="6" max="6" width="19.21875" style="8" customWidth="1"/>
    <col min="7" max="7" width="18.33203125" style="8" customWidth="1"/>
    <col min="8" max="9" width="18.33203125" style="8" bestFit="1" customWidth="1"/>
    <col min="10" max="14" width="0" style="8" hidden="1" customWidth="1"/>
    <col min="15" max="15" width="15.5546875" style="8" customWidth="1"/>
    <col min="16" max="16384" width="8.88671875" style="8"/>
  </cols>
  <sheetData>
    <row r="1" spans="1:15" x14ac:dyDescent="0.3">
      <c r="A1" s="8" t="s">
        <v>25</v>
      </c>
      <c r="B1" s="9">
        <v>30</v>
      </c>
      <c r="C1" s="8" t="s">
        <v>26</v>
      </c>
      <c r="E1" s="8" t="s">
        <v>27</v>
      </c>
      <c r="F1" s="10">
        <f>B3/B4</f>
        <v>4.051490514905149</v>
      </c>
    </row>
    <row r="2" spans="1:15" ht="16.8" x14ac:dyDescent="0.3">
      <c r="A2" s="8" t="s">
        <v>28</v>
      </c>
      <c r="B2" s="9">
        <v>400</v>
      </c>
      <c r="C2" s="8" t="s">
        <v>26</v>
      </c>
      <c r="E2" s="8" t="s">
        <v>29</v>
      </c>
      <c r="F2" s="10">
        <f>IF(F1&lt;=1.5,0.25,IF(F1&gt;=2,0.17,(F1-$J$3)/($J$4-$J$3)*($K$4-$K$3)+$K$3+0.17))</f>
        <v>0.17</v>
      </c>
    </row>
    <row r="3" spans="1:15" x14ac:dyDescent="0.3">
      <c r="A3" s="8" t="s">
        <v>13</v>
      </c>
      <c r="B3" s="9">
        <v>29.9</v>
      </c>
      <c r="C3" s="8" t="s">
        <v>14</v>
      </c>
      <c r="J3" s="8">
        <v>1.5</v>
      </c>
      <c r="K3" s="8">
        <v>0.08</v>
      </c>
      <c r="L3" s="8" t="s">
        <v>30</v>
      </c>
    </row>
    <row r="4" spans="1:15" x14ac:dyDescent="0.3">
      <c r="A4" s="8" t="s">
        <v>31</v>
      </c>
      <c r="B4" s="9">
        <f>0.6+6.78</f>
        <v>7.38</v>
      </c>
      <c r="C4" s="8" t="s">
        <v>14</v>
      </c>
      <c r="J4" s="8">
        <v>2</v>
      </c>
      <c r="K4" s="8">
        <v>0</v>
      </c>
      <c r="L4" s="8" t="s">
        <v>32</v>
      </c>
    </row>
    <row r="5" spans="1:15" ht="24" x14ac:dyDescent="0.3">
      <c r="A5" s="8" t="s">
        <v>33</v>
      </c>
      <c r="B5" s="9">
        <v>0.25</v>
      </c>
      <c r="F5" s="15"/>
      <c r="G5" s="16" t="s">
        <v>41</v>
      </c>
      <c r="H5" s="16"/>
      <c r="I5" s="16"/>
    </row>
    <row r="6" spans="1:15" x14ac:dyDescent="0.3">
      <c r="O6" s="17"/>
    </row>
    <row r="7" spans="1:15" ht="30.6" x14ac:dyDescent="0.3">
      <c r="A7" s="11" t="s">
        <v>34</v>
      </c>
      <c r="B7" s="11" t="s">
        <v>35</v>
      </c>
      <c r="C7" s="11" t="s">
        <v>36</v>
      </c>
      <c r="D7" s="8" t="s">
        <v>37</v>
      </c>
      <c r="E7" s="8" t="s">
        <v>38</v>
      </c>
      <c r="H7" s="8" t="s">
        <v>39</v>
      </c>
      <c r="I7" s="11" t="s">
        <v>40</v>
      </c>
      <c r="O7" s="17"/>
    </row>
    <row r="8" spans="1:15" x14ac:dyDescent="0.3">
      <c r="A8" s="9">
        <v>8</v>
      </c>
      <c r="B8" s="9">
        <v>30</v>
      </c>
      <c r="C8" s="9">
        <v>118</v>
      </c>
      <c r="D8" s="12">
        <f t="shared" ref="D8:D17" si="0">$B$5*$F$2*SQRT($B$1)*B8*10*$B$4*0.102</f>
        <v>52.568713129417574</v>
      </c>
      <c r="E8" s="12">
        <f>IF((C8-D8)&lt;0,0,C8-D8)</f>
        <v>65.431286870582426</v>
      </c>
      <c r="F8" s="12" t="str">
        <f>IF(C8&gt;($B$5*0.66*SQRT($B$1)*$B$4*B8*10*0.102),"N.G.","OK")</f>
        <v>OK</v>
      </c>
      <c r="G8" s="12" t="str">
        <f>IF(C8&gt;($B$5*0.83*SQRT($B$1)*$B$4*B8*10*0.102),"N.G.","OK")</f>
        <v>OK</v>
      </c>
      <c r="H8" s="13">
        <f t="shared" ref="H8:H17" si="1">MAX(0.0025,E8*1000/0.102/($B$5*$B$4*1000*B8*10*$B$2))</f>
        <v>2.8973947814523635E-3</v>
      </c>
      <c r="I8" s="14">
        <f t="shared" ref="I8:I17" si="2">H8*100*B8</f>
        <v>8.6921843443570914</v>
      </c>
      <c r="O8" s="12">
        <f>C8/($B$5*0.66*SQRT($B$1)*$B$4*B8*10*0.102)</f>
        <v>0.57817545046448704</v>
      </c>
    </row>
    <row r="9" spans="1:15" x14ac:dyDescent="0.3">
      <c r="A9" s="9">
        <v>7</v>
      </c>
      <c r="B9" s="9">
        <v>30</v>
      </c>
      <c r="C9" s="9">
        <v>163</v>
      </c>
      <c r="D9" s="12">
        <f t="shared" si="0"/>
        <v>52.568713129417574</v>
      </c>
      <c r="E9" s="12">
        <f t="shared" ref="E9:E17" si="3">IF((C9-D9)&lt;0,0,C9-D9)</f>
        <v>110.43128687058243</v>
      </c>
      <c r="F9" s="12" t="str">
        <f t="shared" ref="F9:F17" si="4">IF(C9&gt;($B$5*0.66*SQRT($B$1)*$B$4*B9*10*0.102),"N.G.","OK")</f>
        <v>OK</v>
      </c>
      <c r="G9" s="12" t="str">
        <f t="shared" ref="G9:G17" si="5">IF(C9&gt;($B$5*0.83*SQRT($B$1)*$B$4*B9*10*0.102),"N.G.","OK")</f>
        <v>OK</v>
      </c>
      <c r="H9" s="13">
        <f t="shared" si="1"/>
        <v>4.8900617669457476E-3</v>
      </c>
      <c r="I9" s="14">
        <f t="shared" si="2"/>
        <v>14.670185300837243</v>
      </c>
      <c r="O9" s="12">
        <f t="shared" ref="O9:O17" si="6">C9/($B$5*0.66*SQRT($B$1)*$B$4*B9*10*0.102)</f>
        <v>0.79866608835348629</v>
      </c>
    </row>
    <row r="10" spans="1:15" x14ac:dyDescent="0.3">
      <c r="A10" s="9">
        <v>6</v>
      </c>
      <c r="B10" s="9">
        <v>40</v>
      </c>
      <c r="C10" s="9">
        <v>227</v>
      </c>
      <c r="D10" s="12">
        <f t="shared" si="0"/>
        <v>70.091617505890099</v>
      </c>
      <c r="E10" s="12">
        <f t="shared" si="3"/>
        <v>156.9083824941099</v>
      </c>
      <c r="F10" s="12" t="str">
        <f t="shared" si="4"/>
        <v>OK</v>
      </c>
      <c r="G10" s="12" t="str">
        <f t="shared" si="5"/>
        <v>OK</v>
      </c>
      <c r="H10" s="13">
        <f t="shared" si="1"/>
        <v>5.2111025590530153E-3</v>
      </c>
      <c r="I10" s="14">
        <f t="shared" si="2"/>
        <v>20.844410236212063</v>
      </c>
      <c r="O10" s="12">
        <f t="shared" si="6"/>
        <v>0.83418958001338039</v>
      </c>
    </row>
    <row r="11" spans="1:15" x14ac:dyDescent="0.3">
      <c r="A11" s="9">
        <v>5</v>
      </c>
      <c r="B11" s="9">
        <v>40</v>
      </c>
      <c r="C11" s="9">
        <v>270</v>
      </c>
      <c r="D11" s="12">
        <f t="shared" si="0"/>
        <v>70.091617505890099</v>
      </c>
      <c r="E11" s="12">
        <f t="shared" si="3"/>
        <v>199.9083824941099</v>
      </c>
      <c r="F11" s="12" t="str">
        <f>IF(C11&gt;($B$5*0.66*SQRT($B$1)*$B$4*B11*10*0.102),"N.G.","OK")</f>
        <v>OK</v>
      </c>
      <c r="G11" s="12" t="str">
        <f t="shared" si="5"/>
        <v>OK</v>
      </c>
      <c r="H11" s="13">
        <f t="shared" si="1"/>
        <v>6.6391805653232749E-3</v>
      </c>
      <c r="I11" s="14">
        <f t="shared" si="2"/>
        <v>26.5567222612931</v>
      </c>
      <c r="O11" s="12">
        <f t="shared" si="6"/>
        <v>0.99220787050049652</v>
      </c>
    </row>
    <row r="12" spans="1:15" x14ac:dyDescent="0.3">
      <c r="A12" s="9">
        <v>4</v>
      </c>
      <c r="B12" s="9">
        <v>45</v>
      </c>
      <c r="C12" s="9">
        <v>274</v>
      </c>
      <c r="D12" s="12">
        <f t="shared" si="0"/>
        <v>78.853069694126361</v>
      </c>
      <c r="E12" s="12">
        <f t="shared" si="3"/>
        <v>195.14693030587364</v>
      </c>
      <c r="F12" s="12" t="str">
        <f t="shared" si="4"/>
        <v>OK</v>
      </c>
      <c r="G12" s="12" t="str">
        <f t="shared" si="5"/>
        <v>OK</v>
      </c>
      <c r="H12" s="13">
        <f t="shared" si="1"/>
        <v>5.7609310420873002E-3</v>
      </c>
      <c r="I12" s="14">
        <f t="shared" si="2"/>
        <v>25.924189689392854</v>
      </c>
      <c r="O12" s="12">
        <f t="shared" si="6"/>
        <v>0.89502866343090071</v>
      </c>
    </row>
    <row r="13" spans="1:15" x14ac:dyDescent="0.3">
      <c r="A13" s="9">
        <v>3</v>
      </c>
      <c r="B13" s="9">
        <v>45</v>
      </c>
      <c r="C13" s="9">
        <v>305</v>
      </c>
      <c r="D13" s="12">
        <f t="shared" si="0"/>
        <v>78.853069694126361</v>
      </c>
      <c r="E13" s="12">
        <f t="shared" si="3"/>
        <v>226.14693030587364</v>
      </c>
      <c r="F13" s="12" t="str">
        <f t="shared" si="4"/>
        <v>OK</v>
      </c>
      <c r="G13" s="12" t="str">
        <f t="shared" si="5"/>
        <v>OK</v>
      </c>
      <c r="H13" s="13">
        <f t="shared" si="1"/>
        <v>6.6760818057953726E-3</v>
      </c>
      <c r="I13" s="14">
        <f t="shared" si="2"/>
        <v>30.042368126079179</v>
      </c>
      <c r="O13" s="12">
        <f t="shared" si="6"/>
        <v>0.9962910304614041</v>
      </c>
    </row>
    <row r="14" spans="1:15" x14ac:dyDescent="0.3">
      <c r="A14" s="9">
        <v>2</v>
      </c>
      <c r="B14" s="9">
        <v>45</v>
      </c>
      <c r="C14" s="9">
        <v>294</v>
      </c>
      <c r="D14" s="12">
        <f t="shared" si="0"/>
        <v>78.853069694126361</v>
      </c>
      <c r="E14" s="12">
        <f t="shared" si="3"/>
        <v>215.14693030587364</v>
      </c>
      <c r="F14" s="12" t="str">
        <f t="shared" si="4"/>
        <v>OK</v>
      </c>
      <c r="G14" s="12" t="str">
        <f t="shared" si="5"/>
        <v>OK</v>
      </c>
      <c r="H14" s="13">
        <f t="shared" si="1"/>
        <v>6.3513508896408961E-3</v>
      </c>
      <c r="I14" s="14">
        <f t="shared" si="2"/>
        <v>28.581079003384033</v>
      </c>
      <c r="O14" s="12">
        <f t="shared" si="6"/>
        <v>0.96035922280541897</v>
      </c>
    </row>
    <row r="15" spans="1:15" x14ac:dyDescent="0.3">
      <c r="A15" s="9">
        <v>1</v>
      </c>
      <c r="B15" s="9">
        <v>45</v>
      </c>
      <c r="C15" s="9">
        <v>282</v>
      </c>
      <c r="D15" s="12">
        <f t="shared" si="0"/>
        <v>78.853069694126361</v>
      </c>
      <c r="E15" s="12">
        <f t="shared" si="3"/>
        <v>203.14693030587364</v>
      </c>
      <c r="F15" s="12" t="str">
        <f t="shared" si="4"/>
        <v>OK</v>
      </c>
      <c r="G15" s="12" t="str">
        <f t="shared" si="5"/>
        <v>OK</v>
      </c>
      <c r="H15" s="13">
        <f t="shared" si="1"/>
        <v>5.9970989811087387E-3</v>
      </c>
      <c r="I15" s="14">
        <f t="shared" si="2"/>
        <v>26.986945414989322</v>
      </c>
      <c r="O15" s="12">
        <f t="shared" si="6"/>
        <v>0.92116088718070799</v>
      </c>
    </row>
    <row r="16" spans="1:15" x14ac:dyDescent="0.3">
      <c r="A16" s="9">
        <v>0</v>
      </c>
      <c r="B16" s="9">
        <v>45</v>
      </c>
      <c r="C16" s="9">
        <v>187</v>
      </c>
      <c r="D16" s="12">
        <f t="shared" si="0"/>
        <v>78.853069694126361</v>
      </c>
      <c r="E16" s="12">
        <f t="shared" si="3"/>
        <v>108.14693030587364</v>
      </c>
      <c r="F16" s="12" t="str">
        <f t="shared" si="4"/>
        <v>OK</v>
      </c>
      <c r="G16" s="12" t="str">
        <f t="shared" si="5"/>
        <v>OK</v>
      </c>
      <c r="H16" s="13">
        <f t="shared" si="1"/>
        <v>3.1926047052291615E-3</v>
      </c>
      <c r="I16" s="14">
        <f t="shared" si="2"/>
        <v>14.366721173531229</v>
      </c>
      <c r="O16" s="12">
        <f t="shared" si="6"/>
        <v>0.61084073015174611</v>
      </c>
    </row>
    <row r="17" spans="1:15" x14ac:dyDescent="0.3">
      <c r="A17" s="9">
        <v>-1</v>
      </c>
      <c r="B17" s="9">
        <v>45</v>
      </c>
      <c r="C17" s="9">
        <v>247</v>
      </c>
      <c r="D17" s="12">
        <f t="shared" si="0"/>
        <v>78.853069694126361</v>
      </c>
      <c r="E17" s="12">
        <f t="shared" si="3"/>
        <v>168.14693030587364</v>
      </c>
      <c r="F17" s="12" t="str">
        <f t="shared" si="4"/>
        <v>OK</v>
      </c>
      <c r="G17" s="12" t="str">
        <f t="shared" si="5"/>
        <v>OK</v>
      </c>
      <c r="H17" s="13">
        <f t="shared" si="1"/>
        <v>4.9638642478899465E-3</v>
      </c>
      <c r="I17" s="14">
        <f t="shared" si="2"/>
        <v>22.337389115504759</v>
      </c>
      <c r="O17" s="12">
        <f t="shared" si="6"/>
        <v>0.80683240827530101</v>
      </c>
    </row>
  </sheetData>
  <mergeCells count="2">
    <mergeCell ref="G5:I5"/>
    <mergeCell ref="O6:O7"/>
  </mergeCells>
  <conditionalFormatting sqref="F8:G17">
    <cfRule type="cellIs" dxfId="1" priority="1" operator="equal">
      <formula>"N.G."</formula>
    </cfRule>
    <cfRule type="cellIs" dxfId="0" priority="2" operator="equal">
      <formula>"""N.G."""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Slender Walls phi</vt:lpstr>
      <vt:lpstr>Shear Check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Shodja</dc:creator>
  <cp:lastModifiedBy>Shodja</cp:lastModifiedBy>
  <dcterms:created xsi:type="dcterms:W3CDTF">2021-03-29T06:56:10Z</dcterms:created>
  <dcterms:modified xsi:type="dcterms:W3CDTF">2021-03-29T13:35:55Z</dcterms:modified>
</cp:coreProperties>
</file>