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55" tabRatio="605" activeTab="1"/>
  </bookViews>
  <sheets>
    <sheet name="main" sheetId="12" r:id="rId1"/>
    <sheet name="01" sheetId="25" r:id="rId2"/>
  </sheets>
  <definedNames>
    <definedName name="شخصی" localSheetId="1">'01'!$AD$15</definedName>
    <definedName name="شخصی">#REF!</definedName>
  </definedNames>
  <calcPr calcId="145621"/>
</workbook>
</file>

<file path=xl/calcChain.xml><?xml version="1.0" encoding="utf-8"?>
<calcChain xmlns="http://schemas.openxmlformats.org/spreadsheetml/2006/main">
  <c r="E13" i="12" l="1"/>
  <c r="E12" i="12"/>
  <c r="E11" i="12"/>
  <c r="E10" i="12"/>
  <c r="D8" i="12" l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4" i="12"/>
  <c r="D25" i="12"/>
  <c r="D26" i="12"/>
  <c r="D27" i="12"/>
  <c r="D28" i="12"/>
  <c r="D29" i="12"/>
  <c r="D7" i="12"/>
  <c r="D6" i="12"/>
  <c r="D5" i="12"/>
  <c r="G23" i="12"/>
  <c r="G22" i="12"/>
  <c r="E23" i="12"/>
  <c r="D23" i="12" s="1"/>
  <c r="E22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4" i="12"/>
  <c r="H25" i="12"/>
  <c r="H26" i="12"/>
  <c r="H27" i="12"/>
  <c r="H28" i="12"/>
  <c r="H29" i="12"/>
  <c r="H5" i="12"/>
  <c r="G13" i="12"/>
  <c r="G12" i="12"/>
  <c r="G11" i="12"/>
  <c r="G10" i="12"/>
  <c r="H23" i="12" l="1"/>
  <c r="H22" i="12"/>
  <c r="Q14" i="25" l="1"/>
  <c r="K16" i="25" l="1"/>
  <c r="L16" i="25" s="1"/>
  <c r="B28" i="25"/>
  <c r="I28" i="25" s="1"/>
  <c r="B27" i="25"/>
  <c r="J27" i="25" s="1"/>
  <c r="B26" i="25"/>
  <c r="I26" i="25" s="1"/>
  <c r="B25" i="25"/>
  <c r="J25" i="25" s="1"/>
  <c r="B24" i="25"/>
  <c r="J24" i="25" s="1"/>
  <c r="B23" i="25"/>
  <c r="L12" i="25"/>
  <c r="AL13" i="25" s="1"/>
  <c r="AJ13" i="25"/>
  <c r="AJ12" i="25"/>
  <c r="AJ11" i="25"/>
  <c r="AJ10" i="25"/>
  <c r="AJ9" i="25"/>
  <c r="K4" i="25"/>
  <c r="E24" i="25" l="1"/>
  <c r="G24" i="25"/>
  <c r="I24" i="25"/>
  <c r="E25" i="25"/>
  <c r="G25" i="25"/>
  <c r="I25" i="25"/>
  <c r="E26" i="25"/>
  <c r="G26" i="25"/>
  <c r="E27" i="25"/>
  <c r="G27" i="25"/>
  <c r="I27" i="25"/>
  <c r="L4" i="25"/>
  <c r="D23" i="25"/>
  <c r="D14" i="25" s="1"/>
  <c r="F23" i="25"/>
  <c r="O5" i="25" s="1"/>
  <c r="P5" i="25" s="1"/>
  <c r="D24" i="25"/>
  <c r="F24" i="25"/>
  <c r="H24" i="25"/>
  <c r="D25" i="25"/>
  <c r="F25" i="25"/>
  <c r="H25" i="25"/>
  <c r="D26" i="25"/>
  <c r="F26" i="25"/>
  <c r="H26" i="25"/>
  <c r="J26" i="25"/>
  <c r="D27" i="25"/>
  <c r="F27" i="25"/>
  <c r="H27" i="25"/>
  <c r="D28" i="25"/>
  <c r="F28" i="25"/>
  <c r="H28" i="25"/>
  <c r="J28" i="25"/>
  <c r="E23" i="25"/>
  <c r="O3" i="25" s="1"/>
  <c r="G23" i="25"/>
  <c r="O4" i="25" s="1"/>
  <c r="P4" i="25" s="1"/>
  <c r="E28" i="25"/>
  <c r="G28" i="25"/>
  <c r="P3" i="25" l="1"/>
  <c r="AO4" i="25" s="1"/>
  <c r="Q3" i="25"/>
  <c r="Q5" i="25"/>
  <c r="R5" i="25" s="1"/>
  <c r="D12" i="25"/>
  <c r="AJ14" i="25" s="1"/>
  <c r="AO6" i="25"/>
  <c r="AO5" i="25"/>
  <c r="R4" i="25"/>
  <c r="S4" i="25" s="1"/>
  <c r="E14" i="25"/>
  <c r="E15" i="25" s="1"/>
  <c r="P6" i="25" l="1"/>
  <c r="AO7" i="25" s="1"/>
  <c r="R3" i="25"/>
  <c r="S3" i="25" s="1"/>
  <c r="S6" i="25" s="1"/>
  <c r="E17" i="25"/>
  <c r="D13" i="25"/>
  <c r="E16" i="25" s="1"/>
  <c r="P7" i="25" s="1"/>
  <c r="AO12" i="25" l="1"/>
  <c r="R6" i="25"/>
  <c r="K12" i="25" s="1"/>
  <c r="AO9" i="25"/>
  <c r="AO11" i="25" l="1"/>
  <c r="I29" i="12"/>
  <c r="J29" i="12" s="1"/>
  <c r="I28" i="12"/>
  <c r="J28" i="12" s="1"/>
  <c r="I27" i="12"/>
  <c r="J27" i="12" s="1"/>
  <c r="I25" i="12"/>
  <c r="J25" i="12" s="1"/>
  <c r="I21" i="12"/>
  <c r="J21" i="12" s="1"/>
  <c r="I20" i="12"/>
  <c r="J20" i="12" s="1"/>
  <c r="I19" i="12"/>
  <c r="J19" i="12" s="1"/>
  <c r="I18" i="12"/>
  <c r="J18" i="12" s="1"/>
  <c r="I17" i="12"/>
  <c r="J17" i="12" s="1"/>
  <c r="I16" i="12"/>
  <c r="J16" i="12" s="1"/>
  <c r="I9" i="12"/>
  <c r="J9" i="12" s="1"/>
  <c r="I7" i="12"/>
  <c r="J7" i="12" s="1"/>
  <c r="I6" i="12"/>
  <c r="J6" i="12" s="1"/>
  <c r="I5" i="12"/>
  <c r="J5" i="12" s="1"/>
  <c r="I10" i="12" l="1"/>
  <c r="I14" i="12"/>
  <c r="I22" i="12"/>
  <c r="I11" i="12"/>
  <c r="I8" i="12"/>
  <c r="H23" i="25"/>
  <c r="I24" i="12"/>
  <c r="I13" i="12"/>
  <c r="I23" i="12"/>
  <c r="I26" i="12"/>
  <c r="I15" i="12"/>
  <c r="I12" i="12"/>
  <c r="J24" i="12" l="1"/>
  <c r="J8" i="12"/>
  <c r="J23" i="25" s="1"/>
  <c r="I23" i="25"/>
  <c r="J14" i="12"/>
  <c r="J22" i="12"/>
  <c r="J11" i="12"/>
  <c r="J10" i="12"/>
  <c r="J15" i="12"/>
  <c r="J23" i="12"/>
  <c r="J12" i="12"/>
  <c r="J26" i="12"/>
  <c r="J13" i="12"/>
  <c r="Q6" i="25" l="1"/>
  <c r="L6" i="25" l="1"/>
  <c r="L5" i="25"/>
  <c r="L7" i="25"/>
  <c r="P8" i="25"/>
  <c r="AO14" i="25" s="1"/>
  <c r="AO10" i="25"/>
  <c r="L8" i="25" l="1"/>
  <c r="R10" i="25" s="1"/>
  <c r="P10" i="25" l="1"/>
  <c r="AO15" i="25" s="1"/>
  <c r="P11" i="25" l="1"/>
  <c r="R11" i="25" l="1"/>
  <c r="AJ7" i="25" s="1"/>
  <c r="AO16" i="25"/>
</calcChain>
</file>

<file path=xl/sharedStrings.xml><?xml version="1.0" encoding="utf-8"?>
<sst xmlns="http://schemas.openxmlformats.org/spreadsheetml/2006/main" count="237" uniqueCount="134">
  <si>
    <t>مورد استفاده</t>
  </si>
  <si>
    <t>انواع خودرو</t>
  </si>
  <si>
    <t>جریمه 
دیرکرد روزانه</t>
  </si>
  <si>
    <t>تخفیف</t>
  </si>
  <si>
    <t>شخصی</t>
  </si>
  <si>
    <t xml:space="preserve"> پراید ، پیکان </t>
  </si>
  <si>
    <t xml:space="preserve">پژو ، سمند </t>
  </si>
  <si>
    <t>تعلیماتی</t>
  </si>
  <si>
    <t>بارکش</t>
  </si>
  <si>
    <t xml:space="preserve">ظرفیت تا 1 تن </t>
  </si>
  <si>
    <t xml:space="preserve">بیش از 1تن تا 3 تن </t>
  </si>
  <si>
    <t xml:space="preserve">بیش از 3 تن تا 5 تن </t>
  </si>
  <si>
    <t>بیش از 5 تن تا 10 تن</t>
  </si>
  <si>
    <t xml:space="preserve">بیش از 10 تن تا 20 تن </t>
  </si>
  <si>
    <t>تعداد روز گذشته از بیمه</t>
  </si>
  <si>
    <t>نوع وسیله</t>
  </si>
  <si>
    <t>تخفیف عدم خسارت</t>
  </si>
  <si>
    <t>مبلغ قابل پرداخت</t>
  </si>
  <si>
    <t>مبلغ حق بیمه پایه</t>
  </si>
  <si>
    <t>کد ردیف</t>
  </si>
  <si>
    <t>تاکسی درون شهری</t>
  </si>
  <si>
    <t>تاکسی برون شهری</t>
  </si>
  <si>
    <t>تعداد سال</t>
  </si>
  <si>
    <t>درصد تخفیف</t>
  </si>
  <si>
    <t>حق بیمه پایه</t>
  </si>
  <si>
    <t>فاقد بیمه نامه</t>
  </si>
  <si>
    <t>عمر خودرو</t>
  </si>
  <si>
    <t>ثالث</t>
  </si>
  <si>
    <t>حوادث</t>
  </si>
  <si>
    <t>کل مازاد</t>
  </si>
  <si>
    <t>بدنی هر نفر</t>
  </si>
  <si>
    <t>بدنی راننده</t>
  </si>
  <si>
    <t>مالی</t>
  </si>
  <si>
    <t>درصد اضافه نرخ</t>
  </si>
  <si>
    <t>افزایش نرخ عمر خودرو</t>
  </si>
  <si>
    <t>اطلاعات خودرو</t>
  </si>
  <si>
    <t>محاسبات  نرخ حق بیمه ثالث</t>
  </si>
  <si>
    <t>مبلغ تخفیف</t>
  </si>
  <si>
    <t>محاسبه تخفیف عدم خسارت</t>
  </si>
  <si>
    <t>محاسبه دیر کرد روزانه  و فاقد بیمه نامه</t>
  </si>
  <si>
    <t>حق بیمه ثالث</t>
  </si>
  <si>
    <t>حق بیمه حوادث</t>
  </si>
  <si>
    <t>محاسبه حق بیمه پایه</t>
  </si>
  <si>
    <t>محاسبه درصد اضافه نرخ  خودرو بیش از 15 سال</t>
  </si>
  <si>
    <t>کسر می شود : تخفیف عدم خسارت</t>
  </si>
  <si>
    <t>تعداد روز قابل محاسبه</t>
  </si>
  <si>
    <t>مبلغ دیرکرد روزانه</t>
  </si>
  <si>
    <t xml:space="preserve">جریمه دیرکرد  روزانه </t>
  </si>
  <si>
    <t>اضافه می شود : مالیات بر ارزش افزوده</t>
  </si>
  <si>
    <t>محاسبه مبلغ حق بیمه قابل پرداخت</t>
  </si>
  <si>
    <t xml:space="preserve">حق بیمه کل مازاد </t>
  </si>
  <si>
    <t>تاریخ انقضاء بیمه نامه را وارد کنید</t>
  </si>
  <si>
    <t>سالهای تخفیف  بیمه نامه را وارد کنید</t>
  </si>
  <si>
    <t>سال ساخت</t>
  </si>
  <si>
    <t>تعداد سال تخفیف</t>
  </si>
  <si>
    <t>تعداد روز دیر کرد</t>
  </si>
  <si>
    <t>:</t>
  </si>
  <si>
    <t>تاریخ  روز جاری  را وارد کنید</t>
  </si>
  <si>
    <t>دیه سال 1393</t>
  </si>
  <si>
    <t>مالیات</t>
  </si>
  <si>
    <t>موتور سیکلت ( دنده ای یک سیلندر )</t>
  </si>
  <si>
    <t>سواری شخصی</t>
  </si>
  <si>
    <t>کمتر از چهار سیلندر</t>
  </si>
  <si>
    <t>پراید ، پیکان ، سپند</t>
  </si>
  <si>
    <t xml:space="preserve">سایر چهارسیلندرها </t>
  </si>
  <si>
    <t xml:space="preserve">بیش از چهار سیلندر </t>
  </si>
  <si>
    <t>درون</t>
  </si>
  <si>
    <t>برون</t>
  </si>
  <si>
    <t>عمومی</t>
  </si>
  <si>
    <t>7نفر با احتساب راننده</t>
  </si>
  <si>
    <t>9نفر با احتساب راننده</t>
  </si>
  <si>
    <t>ون با ظرفیت 10 نفر با احتساب راننده</t>
  </si>
  <si>
    <t>مینی بوس 16 نفره با احتساب راننده</t>
  </si>
  <si>
    <t>مینی بوس 21 نفره با احتساب راننده</t>
  </si>
  <si>
    <t>اتوبوس 27 نفره با احتساب راننده و کمک</t>
  </si>
  <si>
    <t>اتوبوس 40 نفره با احتساب راننده و کمک</t>
  </si>
  <si>
    <t>اتوبوس 44 نفره با احتساب راننده وکمک</t>
  </si>
  <si>
    <t>بیش از 20 تن</t>
  </si>
  <si>
    <t>پیکان / پراید</t>
  </si>
  <si>
    <t>پژو / سمند</t>
  </si>
  <si>
    <t>تعلیم رانندگی</t>
  </si>
  <si>
    <t>نقلیه عمومی</t>
  </si>
  <si>
    <t>جریمه</t>
  </si>
  <si>
    <t>سال ساخت ( مدل خودرو ) را وارد  کنید</t>
  </si>
  <si>
    <t>دیرکرد روزانه  + اضافه نرخ عمر</t>
  </si>
  <si>
    <t>درصد اضافه نرخ عمر خودرو</t>
  </si>
  <si>
    <t>سال خودرو</t>
  </si>
  <si>
    <t>وضعیت بیمه نامه</t>
  </si>
  <si>
    <t xml:space="preserve">عدم خسارت </t>
  </si>
  <si>
    <t>دارای خسارت</t>
  </si>
  <si>
    <t>محاسبه مالیات</t>
  </si>
  <si>
    <t>عوارض</t>
  </si>
  <si>
    <t>مالیات بر ارزش افزوده</t>
  </si>
  <si>
    <t>مالیات سلامت</t>
  </si>
  <si>
    <t>حق بیمه محاسبه شده</t>
  </si>
  <si>
    <t>اضافه نرخ عمر</t>
  </si>
  <si>
    <t>-</t>
  </si>
  <si>
    <t>مبلغ  دیرکرد فاقد بیمه نامه</t>
  </si>
  <si>
    <t>مبلغ دیرکرد عادی</t>
  </si>
  <si>
    <t>اضافه می شود به حق بیمه :</t>
  </si>
  <si>
    <t>مورد استفاده  خودرو</t>
  </si>
  <si>
    <t>محاسبه تا سقف 365 روز</t>
  </si>
  <si>
    <t>توضیحات</t>
  </si>
  <si>
    <t>ام وی ام 110 ( 3 سیلندر ) و ...</t>
  </si>
  <si>
    <t>انواع پراید / پیکان / هیلمن / سپند</t>
  </si>
  <si>
    <t>ماکسیما ، آزارا ، رونیز و ...</t>
  </si>
  <si>
    <t>انواع پژو ، سمند ، تیبا  و ال 90 و  ...</t>
  </si>
  <si>
    <t>انواع پراید ، پیکان</t>
  </si>
  <si>
    <t>انواع پژو ، سمند</t>
  </si>
  <si>
    <t>وانت پیکان و ...</t>
  </si>
  <si>
    <t>وانت نیسان و ....</t>
  </si>
  <si>
    <t>مدت اعتبار</t>
  </si>
  <si>
    <t>درصد محاسبه</t>
  </si>
  <si>
    <t>عادی</t>
  </si>
  <si>
    <t>درصد بیمه کوتاه مدت</t>
  </si>
  <si>
    <t>جدول بیمه کوتاه مدت</t>
  </si>
  <si>
    <t>تخفیف ویژه</t>
  </si>
  <si>
    <t>درصد تخفیف وِیژه</t>
  </si>
  <si>
    <t>درصد پروفایل</t>
  </si>
  <si>
    <t>شرح</t>
  </si>
  <si>
    <t>حق بیمه  محاسبه شده</t>
  </si>
  <si>
    <t>365 روز</t>
  </si>
  <si>
    <t>مدت بیمه نامه  ( عادی / کوتاه مدت ) :</t>
  </si>
  <si>
    <t>تخفیفات ویژه  ( درصد ) :</t>
  </si>
  <si>
    <t>وضعیت بیمه نامه ( عدم خسارت/فاقد/خسارتی )</t>
  </si>
  <si>
    <t>نوع گروه وسلیه نقلیه  را انتخاب کنید   :</t>
  </si>
  <si>
    <t xml:space="preserve">اضافه می شود : جریمه دیرکرد  روزانه </t>
  </si>
  <si>
    <t>اضافه می شود :  ضریب مدل بالای 15 سال ساخت</t>
  </si>
  <si>
    <t xml:space="preserve">کسر می شود : تخفیف ویژه  ( مقطعی ) </t>
  </si>
  <si>
    <t>حق بیمه ثالث ( جدول بیمه مرکزی )</t>
  </si>
  <si>
    <t>حق بیمه حوادث ( جدول بیمه مرکزی )</t>
  </si>
  <si>
    <t>شخص ثالث 94</t>
  </si>
  <si>
    <t>نوع وسلیه نقلیه</t>
  </si>
  <si>
    <t>سیستم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</si>
</sst>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3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Titr"/>
      <charset val="178"/>
    </font>
    <font>
      <sz val="11"/>
      <color theme="1"/>
      <name val="Arial"/>
      <family val="2"/>
      <scheme val="minor"/>
    </font>
    <font>
      <sz val="11"/>
      <name val="B Titr"/>
      <charset val="178"/>
    </font>
    <font>
      <sz val="20"/>
      <color theme="1"/>
      <name val="B Nazanin"/>
      <charset val="178"/>
    </font>
    <font>
      <sz val="11"/>
      <color theme="0"/>
      <name val="B Titr"/>
      <charset val="178"/>
    </font>
    <font>
      <sz val="18"/>
      <color theme="1"/>
      <name val="B Titr"/>
      <charset val="178"/>
    </font>
    <font>
      <sz val="18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0"/>
      <name val="B Titr"/>
      <charset val="178"/>
    </font>
    <font>
      <sz val="12"/>
      <color theme="1"/>
      <name val="B Titr"/>
      <charset val="178"/>
    </font>
    <font>
      <b/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b/>
      <sz val="16"/>
      <color theme="1"/>
      <name val="B Nazanin"/>
      <charset val="178"/>
    </font>
    <font>
      <b/>
      <sz val="16"/>
      <color theme="0"/>
      <name val="B Nazanin"/>
      <charset val="178"/>
    </font>
    <font>
      <sz val="11"/>
      <color theme="1" tint="0.499984740745262"/>
      <name val="B Titr"/>
      <charset val="178"/>
    </font>
    <font>
      <sz val="16"/>
      <color theme="1" tint="0.499984740745262"/>
      <name val="B Titr"/>
      <charset val="178"/>
    </font>
    <font>
      <sz val="18"/>
      <color theme="1" tint="0.499984740745262"/>
      <name val="B Titr"/>
      <charset val="178"/>
    </font>
    <font>
      <sz val="11"/>
      <color rgb="FF0000FF"/>
      <name val="B Titr"/>
      <charset val="178"/>
    </font>
    <font>
      <sz val="11"/>
      <color theme="0" tint="-0.499984740745262"/>
      <name val="B Titr"/>
      <charset val="178"/>
    </font>
    <font>
      <b/>
      <sz val="14"/>
      <name val="B Nazanin"/>
      <charset val="178"/>
    </font>
    <font>
      <sz val="16"/>
      <color theme="1" tint="0.249977111117893"/>
      <name val="B Titr"/>
      <charset val="178"/>
    </font>
    <font>
      <sz val="11"/>
      <color theme="1" tint="0.499984740745262"/>
      <name val="B Yekan"/>
      <charset val="178"/>
    </font>
    <font>
      <b/>
      <sz val="14"/>
      <color theme="1" tint="0.499984740745262"/>
      <name val="B Nazanin"/>
      <charset val="178"/>
    </font>
    <font>
      <sz val="12"/>
      <name val="B Titr"/>
      <charset val="178"/>
    </font>
    <font>
      <b/>
      <sz val="16"/>
      <name val="B Nazanin"/>
      <charset val="178"/>
    </font>
    <font>
      <sz val="12"/>
      <color theme="1"/>
      <name val="B Yekan"/>
      <charset val="178"/>
    </font>
    <font>
      <sz val="14"/>
      <color theme="1"/>
      <name val="B Yekan"/>
      <charset val="178"/>
    </font>
    <font>
      <b/>
      <sz val="12"/>
      <name val="B Yekan"/>
      <charset val="178"/>
    </font>
    <font>
      <sz val="12"/>
      <name val="B Yekan"/>
      <charset val="178"/>
    </font>
    <font>
      <sz val="14"/>
      <name val="B Yekan"/>
      <charset val="178"/>
    </font>
    <font>
      <b/>
      <sz val="22"/>
      <color rgb="FF0000FF"/>
      <name val="B Titr"/>
      <charset val="178"/>
    </font>
    <font>
      <sz val="12"/>
      <color theme="0" tint="-0.499984740745262"/>
      <name val="B Yekan"/>
      <charset val="17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/>
      </bottom>
      <diagonal/>
    </border>
    <border>
      <left/>
      <right style="thin">
        <color indexed="64"/>
      </right>
      <top style="double">
        <color indexed="64"/>
      </top>
      <bottom style="thin">
        <color theme="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5" fillId="10" borderId="32" applyNumberFormat="0" applyAlignment="0" applyProtection="0"/>
    <xf numFmtId="0" fontId="16" fillId="11" borderId="33" applyNumberFormat="0" applyAlignment="0" applyProtection="0"/>
    <xf numFmtId="0" fontId="1" fillId="12" borderId="34" applyNumberFormat="0" applyFont="0" applyAlignment="0" applyProtection="0"/>
  </cellStyleXfs>
  <cellXfs count="220">
    <xf numFmtId="0" fontId="0" fillId="0" borderId="0" xfId="0"/>
    <xf numFmtId="0" fontId="2" fillId="3" borderId="20" xfId="0" applyFont="1" applyFill="1" applyBorder="1" applyAlignment="1" applyProtection="1">
      <alignment horizontal="center" vertical="center" shrinkToFit="1"/>
      <protection hidden="1"/>
    </xf>
    <xf numFmtId="0" fontId="2" fillId="3" borderId="23" xfId="0" applyFont="1" applyFill="1" applyBorder="1" applyAlignment="1" applyProtection="1">
      <alignment horizontal="center" vertical="center" shrinkToFit="1"/>
      <protection hidden="1"/>
    </xf>
    <xf numFmtId="0" fontId="2" fillId="3" borderId="22" xfId="0" applyFont="1" applyFill="1" applyBorder="1" applyAlignment="1" applyProtection="1">
      <alignment horizontal="center" vertical="center" shrinkToFit="1"/>
      <protection hidden="1"/>
    </xf>
    <xf numFmtId="0" fontId="2" fillId="3" borderId="2" xfId="0" applyFont="1" applyFill="1" applyBorder="1" applyAlignment="1" applyProtection="1">
      <alignment horizontal="center" vertical="center" shrinkToFit="1"/>
      <protection hidden="1"/>
    </xf>
    <xf numFmtId="0" fontId="2" fillId="3" borderId="3" xfId="0" applyFont="1" applyFill="1" applyBorder="1" applyAlignment="1" applyProtection="1">
      <alignment horizontal="center" vertical="center" shrinkToFit="1"/>
      <protection hidden="1"/>
    </xf>
    <xf numFmtId="0" fontId="2" fillId="3" borderId="5" xfId="0" applyFont="1" applyFill="1" applyBorder="1" applyAlignment="1" applyProtection="1">
      <alignment horizontal="center" vertical="center" shrinkToFit="1"/>
      <protection hidden="1"/>
    </xf>
    <xf numFmtId="0" fontId="2" fillId="3" borderId="6" xfId="0" applyFont="1" applyFill="1" applyBorder="1" applyAlignment="1" applyProtection="1">
      <alignment vertical="center" shrinkToFit="1"/>
      <protection hidden="1"/>
    </xf>
    <xf numFmtId="0" fontId="2" fillId="3" borderId="8" xfId="0" applyFont="1" applyFill="1" applyBorder="1" applyAlignment="1" applyProtection="1">
      <alignment horizontal="center" vertical="center" shrinkToFit="1"/>
      <protection hidden="1"/>
    </xf>
    <xf numFmtId="165" fontId="2" fillId="3" borderId="0" xfId="1" applyNumberFormat="1" applyFont="1" applyFill="1" applyBorder="1" applyAlignment="1" applyProtection="1">
      <alignment horizontal="center" vertical="center" shrinkToFit="1"/>
      <protection hidden="1"/>
    </xf>
    <xf numFmtId="165" fontId="2" fillId="3" borderId="15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Border="1" applyAlignment="1" applyProtection="1">
      <alignment horizontal="center" vertical="center" shrinkToFit="1"/>
      <protection hidden="1"/>
    </xf>
    <xf numFmtId="0" fontId="2" fillId="3" borderId="6" xfId="0" applyFont="1" applyFill="1" applyBorder="1" applyAlignment="1" applyProtection="1">
      <alignment horizontal="center" vertical="center" shrinkToFit="1"/>
      <protection hidden="1"/>
    </xf>
    <xf numFmtId="0" fontId="2" fillId="3" borderId="7" xfId="0" applyFont="1" applyFill="1" applyBorder="1" applyAlignment="1" applyProtection="1">
      <alignment horizontal="center" vertical="center" shrinkToFit="1"/>
      <protection hidden="1"/>
    </xf>
    <xf numFmtId="165" fontId="2" fillId="3" borderId="0" xfId="0" applyNumberFormat="1" applyFont="1" applyFill="1" applyAlignment="1" applyProtection="1">
      <alignment horizontal="center" vertical="center" shrinkToFit="1"/>
      <protection hidden="1"/>
    </xf>
    <xf numFmtId="0" fontId="2" fillId="3" borderId="0" xfId="0" applyFont="1" applyFill="1" applyAlignment="1" applyProtection="1">
      <alignment horizontal="left" vertical="center" shrinkToFit="1"/>
      <protection hidden="1"/>
    </xf>
    <xf numFmtId="0" fontId="2" fillId="3" borderId="15" xfId="0" applyFont="1" applyFill="1" applyBorder="1" applyAlignment="1" applyProtection="1">
      <alignment horizontal="center" vertical="center" shrinkToFit="1"/>
      <protection hidden="1"/>
    </xf>
    <xf numFmtId="0" fontId="2" fillId="3" borderId="1" xfId="0" applyFont="1" applyFill="1" applyBorder="1" applyAlignment="1" applyProtection="1">
      <alignment horizontal="center" vertical="center" shrinkToFit="1"/>
      <protection hidden="1"/>
    </xf>
    <xf numFmtId="0" fontId="2" fillId="3" borderId="4" xfId="0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Alignment="1" applyProtection="1">
      <alignment horizontal="center" vertical="center" shrinkToFit="1"/>
      <protection hidden="1"/>
    </xf>
    <xf numFmtId="0" fontId="2" fillId="6" borderId="19" xfId="0" applyFont="1" applyFill="1" applyBorder="1" applyAlignment="1" applyProtection="1">
      <alignment horizontal="center" vertical="center" shrinkToFit="1"/>
      <protection hidden="1"/>
    </xf>
    <xf numFmtId="0" fontId="2" fillId="6" borderId="20" xfId="0" applyFont="1" applyFill="1" applyBorder="1" applyAlignment="1" applyProtection="1">
      <alignment horizontal="center" vertical="center" shrinkToFit="1"/>
      <protection hidden="1"/>
    </xf>
    <xf numFmtId="0" fontId="2" fillId="6" borderId="15" xfId="0" applyFont="1" applyFill="1" applyBorder="1" applyAlignment="1" applyProtection="1">
      <alignment horizontal="center" vertical="center" shrinkToFit="1"/>
      <protection hidden="1"/>
    </xf>
    <xf numFmtId="0" fontId="2" fillId="2" borderId="15" xfId="0" applyFont="1" applyFill="1" applyBorder="1" applyAlignment="1" applyProtection="1">
      <alignment horizontal="center" vertical="center" shrinkToFit="1"/>
      <protection hidden="1"/>
    </xf>
    <xf numFmtId="0" fontId="2" fillId="2" borderId="19" xfId="0" applyFont="1" applyFill="1" applyBorder="1" applyAlignment="1" applyProtection="1">
      <alignment horizontal="center" vertical="center" shrinkToFit="1"/>
      <protection hidden="1"/>
    </xf>
    <xf numFmtId="0" fontId="2" fillId="2" borderId="20" xfId="0" applyFont="1" applyFill="1" applyBorder="1" applyAlignment="1" applyProtection="1">
      <alignment horizontal="center" vertical="center" shrinkToFit="1"/>
      <protection hidden="1"/>
    </xf>
    <xf numFmtId="165" fontId="2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5" xfId="0" applyFont="1" applyFill="1" applyBorder="1" applyAlignment="1" applyProtection="1">
      <alignment horizontal="center" vertical="center" shrinkToFit="1"/>
      <protection hidden="1"/>
    </xf>
    <xf numFmtId="0" fontId="2" fillId="0" borderId="19" xfId="0" applyFont="1" applyFill="1" applyBorder="1" applyAlignment="1" applyProtection="1">
      <alignment horizontal="center" vertical="center" shrinkToFit="1"/>
      <protection hidden="1"/>
    </xf>
    <xf numFmtId="0" fontId="2" fillId="0" borderId="21" xfId="0" applyFont="1" applyFill="1" applyBorder="1" applyAlignment="1" applyProtection="1">
      <alignment horizontal="center" vertical="center" shrinkToFit="1"/>
      <protection hidden="1"/>
    </xf>
    <xf numFmtId="0" fontId="2" fillId="0" borderId="23" xfId="0" applyFont="1" applyFill="1" applyBorder="1" applyAlignment="1" applyProtection="1">
      <alignment horizontal="center" vertical="center" shrinkToFit="1"/>
      <protection hidden="1"/>
    </xf>
    <xf numFmtId="0" fontId="5" fillId="6" borderId="19" xfId="0" applyFont="1" applyFill="1" applyBorder="1" applyAlignment="1" applyProtection="1">
      <alignment horizontal="center" vertical="center" shrinkToFit="1"/>
      <protection hidden="1"/>
    </xf>
    <xf numFmtId="0" fontId="5" fillId="6" borderId="15" xfId="0" applyFont="1" applyFill="1" applyBorder="1" applyAlignment="1" applyProtection="1">
      <alignment horizontal="center" vertical="center" shrinkToFit="1"/>
      <protection hidden="1"/>
    </xf>
    <xf numFmtId="0" fontId="2" fillId="3" borderId="37" xfId="0" applyFont="1" applyFill="1" applyBorder="1" applyAlignment="1" applyProtection="1">
      <alignment horizontal="center" vertical="center" shrinkToFit="1"/>
      <protection hidden="1"/>
    </xf>
    <xf numFmtId="0" fontId="2" fillId="3" borderId="38" xfId="0" applyFont="1" applyFill="1" applyBorder="1" applyAlignment="1" applyProtection="1">
      <alignment horizontal="center" vertical="center" shrinkToFit="1"/>
      <protection hidden="1"/>
    </xf>
    <xf numFmtId="3" fontId="2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Border="1" applyAlignment="1" applyProtection="1">
      <alignment horizontal="center" vertical="center" shrinkToFit="1"/>
      <protection hidden="1"/>
    </xf>
    <xf numFmtId="166" fontId="9" fillId="3" borderId="0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Border="1" applyAlignment="1" applyProtection="1">
      <alignment vertical="center" shrinkToFit="1"/>
      <protection hidden="1"/>
    </xf>
    <xf numFmtId="165" fontId="2" fillId="3" borderId="20" xfId="0" applyNumberFormat="1" applyFont="1" applyFill="1" applyBorder="1" applyAlignment="1" applyProtection="1">
      <alignment horizontal="center" vertical="center" shrinkToFit="1"/>
      <protection hidden="1"/>
    </xf>
    <xf numFmtId="165" fontId="2" fillId="3" borderId="35" xfId="0" applyNumberFormat="1" applyFont="1" applyFill="1" applyBorder="1" applyAlignment="1" applyProtection="1">
      <alignment vertical="center" shrinkToFit="1"/>
      <protection hidden="1"/>
    </xf>
    <xf numFmtId="165" fontId="9" fillId="14" borderId="22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29" xfId="0" applyFont="1" applyFill="1" applyBorder="1" applyAlignment="1" applyProtection="1">
      <alignment horizontal="center" vertical="center" shrinkToFit="1"/>
      <protection hidden="1"/>
    </xf>
    <xf numFmtId="0" fontId="2" fillId="4" borderId="36" xfId="0" applyFont="1" applyFill="1" applyBorder="1" applyAlignment="1" applyProtection="1">
      <alignment horizontal="center" vertical="center" shrinkToFit="1"/>
      <protection hidden="1"/>
    </xf>
    <xf numFmtId="166" fontId="2" fillId="3" borderId="21" xfId="1" applyNumberFormat="1" applyFont="1" applyFill="1" applyBorder="1" applyAlignment="1" applyProtection="1">
      <alignment horizontal="center" vertical="center" shrinkToFit="1"/>
      <protection hidden="1"/>
    </xf>
    <xf numFmtId="3" fontId="2" fillId="5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5" borderId="4" xfId="0" applyFont="1" applyFill="1" applyBorder="1" applyAlignment="1" applyProtection="1">
      <alignment horizontal="center" vertical="center" shrinkToFit="1"/>
      <protection hidden="1"/>
    </xf>
    <xf numFmtId="0" fontId="9" fillId="7" borderId="6" xfId="0" applyFont="1" applyFill="1" applyBorder="1" applyAlignment="1" applyProtection="1">
      <alignment horizontal="center" vertical="center" shrinkToFit="1"/>
      <protection hidden="1"/>
    </xf>
    <xf numFmtId="166" fontId="9" fillId="7" borderId="7" xfId="1" applyNumberFormat="1" applyFont="1" applyFill="1" applyBorder="1" applyAlignment="1" applyProtection="1">
      <alignment horizontal="center" vertical="center" shrinkToFit="1"/>
      <protection hidden="1"/>
    </xf>
    <xf numFmtId="3" fontId="2" fillId="3" borderId="31" xfId="0" applyNumberFormat="1" applyFont="1" applyFill="1" applyBorder="1" applyAlignment="1" applyProtection="1">
      <alignment horizontal="center" vertical="center" shrinkToFit="1"/>
      <protection hidden="1"/>
    </xf>
    <xf numFmtId="3" fontId="2" fillId="3" borderId="20" xfId="0" applyNumberFormat="1" applyFont="1" applyFill="1" applyBorder="1" applyAlignment="1" applyProtection="1">
      <alignment horizontal="center" vertical="center" shrinkToFit="1"/>
      <protection hidden="1"/>
    </xf>
    <xf numFmtId="0" fontId="9" fillId="13" borderId="21" xfId="0" applyFont="1" applyFill="1" applyBorder="1" applyAlignment="1" applyProtection="1">
      <alignment horizontal="center" vertical="center" shrinkToFit="1"/>
      <protection hidden="1"/>
    </xf>
    <xf numFmtId="3" fontId="9" fillId="13" borderId="22" xfId="0" applyNumberFormat="1" applyFont="1" applyFill="1" applyBorder="1" applyAlignment="1" applyProtection="1">
      <alignment horizontal="center" vertical="center" shrinkToFit="1"/>
      <protection hidden="1"/>
    </xf>
    <xf numFmtId="0" fontId="9" fillId="8" borderId="3" xfId="0" applyFont="1" applyFill="1" applyBorder="1" applyAlignment="1" applyProtection="1">
      <alignment horizontal="center" vertical="center" shrinkToFit="1"/>
      <protection hidden="1"/>
    </xf>
    <xf numFmtId="3" fontId="2" fillId="5" borderId="5" xfId="0" applyNumberFormat="1" applyFont="1" applyFill="1" applyBorder="1" applyAlignment="1" applyProtection="1">
      <alignment horizontal="center" vertical="center" shrinkToFit="1"/>
      <protection hidden="1"/>
    </xf>
    <xf numFmtId="3" fontId="2" fillId="3" borderId="2" xfId="0" applyNumberFormat="1" applyFont="1" applyFill="1" applyBorder="1" applyAlignment="1" applyProtection="1">
      <alignment horizontal="center" vertical="center" shrinkToFit="1"/>
      <protection hidden="1"/>
    </xf>
    <xf numFmtId="3" fontId="2" fillId="3" borderId="5" xfId="0" applyNumberFormat="1" applyFont="1" applyFill="1" applyBorder="1" applyAlignment="1" applyProtection="1">
      <alignment horizontal="center" vertical="center" shrinkToFit="1"/>
      <protection hidden="1"/>
    </xf>
    <xf numFmtId="3" fontId="2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21" fillId="3" borderId="0" xfId="0" applyFont="1" applyFill="1" applyAlignment="1" applyProtection="1">
      <alignment horizontal="left" vertical="center" shrinkToFit="1"/>
      <protection hidden="1"/>
    </xf>
    <xf numFmtId="0" fontId="21" fillId="3" borderId="0" xfId="0" applyFont="1" applyFill="1" applyAlignment="1" applyProtection="1">
      <alignment horizontal="center" vertical="center" shrinkToFit="1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12" fillId="2" borderId="15" xfId="0" applyFont="1" applyFill="1" applyBorder="1" applyAlignment="1" applyProtection="1">
      <alignment horizontal="center" vertical="center" shrinkToFit="1"/>
      <protection hidden="1"/>
    </xf>
    <xf numFmtId="0" fontId="5" fillId="2" borderId="19" xfId="0" applyFont="1" applyFill="1" applyBorder="1" applyAlignment="1" applyProtection="1">
      <alignment horizontal="center" vertical="center" shrinkToFit="1"/>
      <protection hidden="1"/>
    </xf>
    <xf numFmtId="0" fontId="12" fillId="2" borderId="15" xfId="0" applyFont="1" applyFill="1" applyBorder="1" applyAlignment="1" applyProtection="1">
      <alignment horizontal="center" vertical="center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/>
      <protection hidden="1"/>
    </xf>
    <xf numFmtId="0" fontId="4" fillId="6" borderId="20" xfId="0" applyFont="1" applyFill="1" applyBorder="1" applyAlignment="1" applyProtection="1">
      <alignment horizontal="center" vertical="center"/>
      <protection hidden="1"/>
    </xf>
    <xf numFmtId="0" fontId="5" fillId="6" borderId="19" xfId="0" applyFont="1" applyFill="1" applyBorder="1" applyAlignment="1" applyProtection="1">
      <alignment horizontal="center" vertical="center"/>
      <protection hidden="1"/>
    </xf>
    <xf numFmtId="0" fontId="12" fillId="6" borderId="15" xfId="0" applyFont="1" applyFill="1" applyBorder="1" applyAlignment="1" applyProtection="1">
      <alignment horizontal="center" vertical="center"/>
      <protection hidden="1"/>
    </xf>
    <xf numFmtId="3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5" xfId="0" applyNumberFormat="1" applyFont="1" applyFill="1" applyBorder="1" applyAlignment="1" applyProtection="1">
      <alignment horizontal="center" vertical="center"/>
      <protection hidden="1"/>
    </xf>
    <xf numFmtId="3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12" fillId="6" borderId="23" xfId="0" applyFont="1" applyFill="1" applyBorder="1" applyAlignment="1" applyProtection="1">
      <alignment horizontal="center" vertical="center"/>
      <protection hidden="1"/>
    </xf>
    <xf numFmtId="3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23" xfId="0" applyNumberFormat="1" applyFont="1" applyFill="1" applyBorder="1" applyAlignment="1" applyProtection="1">
      <alignment horizontal="center" vertical="center"/>
      <protection hidden="1"/>
    </xf>
    <xf numFmtId="3" fontId="4" fillId="0" borderId="22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 textRotation="90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3" fontId="4" fillId="2" borderId="15" xfId="0" applyNumberFormat="1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right" vertical="center" indent="1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3" fillId="9" borderId="31" xfId="0" applyFont="1" applyFill="1" applyBorder="1" applyAlignment="1" applyProtection="1">
      <alignment horizontal="center" vertical="center" shrinkToFit="1"/>
      <protection hidden="1"/>
    </xf>
    <xf numFmtId="0" fontId="5" fillId="2" borderId="20" xfId="0" applyFont="1" applyFill="1" applyBorder="1" applyAlignment="1" applyProtection="1">
      <alignment horizontal="center" vertical="center" shrinkToFit="1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center" vertical="center" shrinkToFit="1"/>
      <protection hidden="1"/>
    </xf>
    <xf numFmtId="0" fontId="5" fillId="6" borderId="2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  <xf numFmtId="0" fontId="2" fillId="2" borderId="25" xfId="0" applyFont="1" applyFill="1" applyBorder="1" applyAlignment="1" applyProtection="1">
      <alignment horizontal="center" vertical="center" shrinkToFit="1"/>
      <protection hidden="1"/>
    </xf>
    <xf numFmtId="0" fontId="2" fillId="2" borderId="42" xfId="0" applyFont="1" applyFill="1" applyBorder="1" applyAlignment="1" applyProtection="1">
      <alignment horizontal="center" vertical="center" shrinkToFit="1"/>
      <protection hidden="1"/>
    </xf>
    <xf numFmtId="0" fontId="2" fillId="2" borderId="26" xfId="0" applyFont="1" applyFill="1" applyBorder="1" applyAlignment="1" applyProtection="1">
      <alignment horizontal="center" vertical="center" shrinkToFit="1"/>
      <protection hidden="1"/>
    </xf>
    <xf numFmtId="0" fontId="2" fillId="2" borderId="24" xfId="0" applyFont="1" applyFill="1" applyBorder="1" applyAlignment="1" applyProtection="1">
      <alignment horizontal="center" vertical="center" shrinkToFit="1"/>
      <protection hidden="1"/>
    </xf>
    <xf numFmtId="0" fontId="2" fillId="2" borderId="16" xfId="0" applyFont="1" applyFill="1" applyBorder="1" applyAlignment="1" applyProtection="1">
      <alignment horizontal="center" vertical="center" shrinkToFit="1"/>
      <protection hidden="1"/>
    </xf>
    <xf numFmtId="0" fontId="2" fillId="2" borderId="27" xfId="0" applyFont="1" applyFill="1" applyBorder="1" applyAlignment="1" applyProtection="1">
      <alignment horizontal="center" vertical="center" shrinkToFit="1"/>
      <protection hidden="1"/>
    </xf>
    <xf numFmtId="0" fontId="2" fillId="2" borderId="17" xfId="0" applyFont="1" applyFill="1" applyBorder="1" applyAlignment="1" applyProtection="1">
      <alignment horizontal="center" vertical="center" shrinkToFit="1"/>
      <protection hidden="1"/>
    </xf>
    <xf numFmtId="0" fontId="2" fillId="2" borderId="28" xfId="0" applyFont="1" applyFill="1" applyBorder="1" applyAlignment="1" applyProtection="1">
      <alignment horizontal="center" vertical="center" shrinkToFit="1"/>
      <protection hidden="1"/>
    </xf>
    <xf numFmtId="0" fontId="2" fillId="5" borderId="0" xfId="0" applyFont="1" applyFill="1" applyBorder="1" applyAlignment="1" applyProtection="1">
      <alignment horizontal="center" vertical="center" shrinkToFit="1"/>
      <protection hidden="1"/>
    </xf>
    <xf numFmtId="0" fontId="9" fillId="7" borderId="7" xfId="0" applyFont="1" applyFill="1" applyBorder="1" applyAlignment="1" applyProtection="1">
      <alignment horizontal="center" vertical="center" shrinkToFit="1"/>
      <protection hidden="1"/>
    </xf>
    <xf numFmtId="0" fontId="19" fillId="2" borderId="0" xfId="0" applyFont="1" applyFill="1" applyBorder="1" applyAlignment="1" applyProtection="1">
      <alignment horizontal="center" vertical="center" shrinkToFit="1"/>
      <protection hidden="1"/>
    </xf>
    <xf numFmtId="0" fontId="2" fillId="3" borderId="19" xfId="0" applyFont="1" applyFill="1" applyBorder="1" applyAlignment="1" applyProtection="1">
      <alignment horizontal="center" vertical="center" shrinkToFit="1"/>
      <protection hidden="1"/>
    </xf>
    <xf numFmtId="0" fontId="2" fillId="3" borderId="21" xfId="0" applyFont="1" applyFill="1" applyBorder="1" applyAlignment="1" applyProtection="1">
      <alignment horizontal="center" vertical="center" shrinkToFit="1"/>
      <protection hidden="1"/>
    </xf>
    <xf numFmtId="0" fontId="9" fillId="8" borderId="1" xfId="0" applyFont="1" applyFill="1" applyBorder="1" applyAlignment="1" applyProtection="1">
      <alignment horizontal="center" vertical="center" shrinkToFit="1"/>
      <protection hidden="1"/>
    </xf>
    <xf numFmtId="0" fontId="9" fillId="8" borderId="2" xfId="0" applyFont="1" applyFill="1" applyBorder="1" applyAlignment="1" applyProtection="1">
      <alignment horizontal="center" vertical="center" shrinkToFit="1"/>
      <protection hidden="1"/>
    </xf>
    <xf numFmtId="166" fontId="2" fillId="3" borderId="0" xfId="0" applyNumberFormat="1" applyFont="1" applyFill="1" applyAlignment="1" applyProtection="1">
      <alignment horizontal="center" vertical="center" shrinkToFit="1"/>
      <protection hidden="1"/>
    </xf>
    <xf numFmtId="0" fontId="2" fillId="5" borderId="45" xfId="0" applyFont="1" applyFill="1" applyBorder="1" applyAlignment="1" applyProtection="1">
      <alignment horizontal="center" vertical="center" shrinkToFit="1"/>
      <protection hidden="1"/>
    </xf>
    <xf numFmtId="0" fontId="2" fillId="5" borderId="46" xfId="0" applyFont="1" applyFill="1" applyBorder="1" applyAlignment="1" applyProtection="1">
      <alignment horizontal="center" vertical="center" shrinkToFit="1"/>
      <protection hidden="1"/>
    </xf>
    <xf numFmtId="3" fontId="17" fillId="5" borderId="46" xfId="0" applyNumberFormat="1" applyFont="1" applyFill="1" applyBorder="1" applyAlignment="1" applyProtection="1">
      <alignment horizontal="center" vertical="center" shrinkToFit="1"/>
      <protection hidden="1"/>
    </xf>
    <xf numFmtId="3" fontId="2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9" fillId="8" borderId="2" xfId="0" applyFont="1" applyFill="1" applyBorder="1" applyAlignment="1" applyProtection="1">
      <alignment vertical="center" shrinkToFit="1"/>
      <protection hidden="1"/>
    </xf>
    <xf numFmtId="0" fontId="2" fillId="2" borderId="0" xfId="0" applyFont="1" applyFill="1" applyAlignment="1" applyProtection="1">
      <alignment horizontal="center" vertical="center" shrinkToFit="1"/>
      <protection hidden="1"/>
    </xf>
    <xf numFmtId="0" fontId="22" fillId="2" borderId="17" xfId="0" applyFont="1" applyFill="1" applyBorder="1" applyAlignment="1" applyProtection="1">
      <alignment vertical="center" shrinkToFit="1"/>
      <protection hidden="1"/>
    </xf>
    <xf numFmtId="0" fontId="22" fillId="2" borderId="0" xfId="0" applyFont="1" applyFill="1" applyBorder="1" applyAlignment="1" applyProtection="1">
      <alignment vertical="center" shrinkToFit="1"/>
      <protection hidden="1"/>
    </xf>
    <xf numFmtId="3" fontId="4" fillId="0" borderId="15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3" fontId="4" fillId="6" borderId="15" xfId="0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 applyProtection="1">
      <alignment horizontal="center" vertical="center" shrinkToFit="1"/>
      <protection hidden="1"/>
    </xf>
    <xf numFmtId="3" fontId="24" fillId="0" borderId="53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56" xfId="0" applyFont="1" applyFill="1" applyBorder="1" applyAlignment="1" applyProtection="1">
      <alignment horizontal="center" vertical="center" shrinkToFit="1"/>
      <protection hidden="1"/>
    </xf>
    <xf numFmtId="3" fontId="29" fillId="4" borderId="57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6" xfId="0" applyFont="1" applyFill="1" applyBorder="1" applyAlignment="1" applyProtection="1">
      <alignment horizontal="center" vertical="center" shrinkToFit="1"/>
      <protection hidden="1"/>
    </xf>
    <xf numFmtId="3" fontId="24" fillId="0" borderId="57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60" xfId="0" applyFont="1" applyFill="1" applyBorder="1" applyAlignment="1" applyProtection="1">
      <alignment horizontal="center" vertical="center" shrinkToFit="1"/>
      <protection hidden="1"/>
    </xf>
    <xf numFmtId="3" fontId="24" fillId="0" borderId="61" xfId="0" applyNumberFormat="1" applyFont="1" applyFill="1" applyBorder="1" applyAlignment="1" applyProtection="1">
      <alignment horizontal="center" vertical="center" shrinkToFit="1"/>
      <protection hidden="1"/>
    </xf>
    <xf numFmtId="0" fontId="9" fillId="9" borderId="58" xfId="0" applyFont="1" applyFill="1" applyBorder="1" applyAlignment="1" applyProtection="1">
      <alignment horizontal="center" vertical="center" shrinkToFit="1"/>
      <protection hidden="1"/>
    </xf>
    <xf numFmtId="166" fontId="18" fillId="9" borderId="59" xfId="1" applyNumberFormat="1" applyFont="1" applyFill="1" applyBorder="1" applyAlignment="1" applyProtection="1">
      <alignment horizontal="center" vertical="center" shrinkToFit="1"/>
      <protection hidden="1"/>
    </xf>
    <xf numFmtId="0" fontId="22" fillId="2" borderId="16" xfId="0" applyFont="1" applyFill="1" applyBorder="1" applyAlignment="1" applyProtection="1">
      <alignment horizontal="center" vertical="center" shrinkToFit="1"/>
      <protection hidden="1"/>
    </xf>
    <xf numFmtId="0" fontId="19" fillId="2" borderId="0" xfId="0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  <xf numFmtId="0" fontId="27" fillId="2" borderId="0" xfId="3" applyFont="1" applyFill="1" applyBorder="1" applyAlignment="1" applyProtection="1">
      <alignment horizontal="center" vertical="center" shrinkToFit="1"/>
      <protection hidden="1"/>
    </xf>
    <xf numFmtId="0" fontId="25" fillId="2" borderId="24" xfId="0" applyFont="1" applyFill="1" applyBorder="1" applyAlignment="1" applyProtection="1">
      <alignment horizontal="left" vertical="center" shrinkToFit="1"/>
      <protection hidden="1"/>
    </xf>
    <xf numFmtId="0" fontId="20" fillId="2" borderId="0" xfId="0" applyFont="1" applyFill="1" applyBorder="1" applyAlignment="1" applyProtection="1">
      <alignment horizontal="center" vertical="center" shrinkToFit="1"/>
      <protection hidden="1"/>
    </xf>
    <xf numFmtId="0" fontId="27" fillId="2" borderId="16" xfId="3" applyFont="1" applyFill="1" applyBorder="1" applyAlignment="1" applyProtection="1">
      <alignment horizontal="center" vertical="center" shrinkToFit="1"/>
      <protection hidden="1"/>
    </xf>
    <xf numFmtId="0" fontId="25" fillId="2" borderId="27" xfId="0" applyFont="1" applyFill="1" applyBorder="1" applyAlignment="1" applyProtection="1">
      <alignment horizontal="left" vertical="center" shrinkToFit="1"/>
      <protection hidden="1"/>
    </xf>
    <xf numFmtId="0" fontId="20" fillId="2" borderId="17" xfId="0" applyFont="1" applyFill="1" applyBorder="1" applyAlignment="1" applyProtection="1">
      <alignment horizontal="center" vertical="center" shrinkToFit="1"/>
      <protection hidden="1"/>
    </xf>
    <xf numFmtId="0" fontId="2" fillId="3" borderId="17" xfId="0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Border="1" applyAlignment="1" applyProtection="1">
      <alignment horizontal="left" vertical="center" shrinkToFit="1"/>
      <protection hidden="1"/>
    </xf>
    <xf numFmtId="0" fontId="2" fillId="3" borderId="17" xfId="0" applyFont="1" applyFill="1" applyBorder="1" applyAlignment="1" applyProtection="1">
      <alignment horizontal="left" vertical="center" shrinkToFit="1"/>
      <protection hidden="1"/>
    </xf>
    <xf numFmtId="0" fontId="30" fillId="2" borderId="0" xfId="0" applyFont="1" applyFill="1" applyBorder="1" applyAlignment="1" applyProtection="1">
      <alignment horizontal="center" vertical="center" shrinkToFit="1"/>
      <protection hidden="1"/>
    </xf>
    <xf numFmtId="0" fontId="31" fillId="2" borderId="0" xfId="5" applyFont="1" applyFill="1" applyBorder="1" applyAlignment="1" applyProtection="1">
      <alignment horizontal="center" vertical="center" shrinkToFit="1"/>
      <protection locked="0"/>
    </xf>
    <xf numFmtId="0" fontId="31" fillId="2" borderId="0" xfId="5" applyFont="1" applyFill="1" applyBorder="1" applyAlignment="1" applyProtection="1">
      <alignment horizontal="center" vertical="center" shrinkToFit="1"/>
      <protection hidden="1"/>
    </xf>
    <xf numFmtId="0" fontId="31" fillId="2" borderId="0" xfId="0" applyFont="1" applyFill="1" applyBorder="1" applyAlignment="1" applyProtection="1">
      <alignment horizontal="center" vertical="center" shrinkToFit="1"/>
      <protection locked="0"/>
    </xf>
    <xf numFmtId="0" fontId="30" fillId="2" borderId="0" xfId="5" applyFont="1" applyFill="1" applyBorder="1" applyAlignment="1" applyProtection="1">
      <alignment horizontal="center" vertical="center" shrinkToFit="1"/>
      <protection locked="0"/>
    </xf>
    <xf numFmtId="0" fontId="32" fillId="2" borderId="0" xfId="4" applyFont="1" applyFill="1" applyBorder="1" applyAlignment="1" applyProtection="1">
      <alignment horizontal="center" vertical="center" shrinkToFit="1"/>
      <protection locked="0"/>
    </xf>
    <xf numFmtId="0" fontId="33" fillId="2" borderId="0" xfId="5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15" xfId="0" applyFont="1" applyFill="1" applyBorder="1" applyAlignment="1" applyProtection="1">
      <alignment horizontal="center" vertical="center" textRotation="90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11" fillId="2" borderId="17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textRotation="90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9" fillId="14" borderId="21" xfId="0" applyFont="1" applyFill="1" applyBorder="1" applyAlignment="1" applyProtection="1">
      <alignment horizontal="center" vertical="center" shrinkToFit="1"/>
      <protection hidden="1"/>
    </xf>
    <xf numFmtId="0" fontId="9" fillId="14" borderId="23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center" vertical="center" shrinkToFit="1"/>
      <protection hidden="1"/>
    </xf>
    <xf numFmtId="0" fontId="14" fillId="0" borderId="10" xfId="0" applyFont="1" applyFill="1" applyBorder="1" applyAlignment="1" applyProtection="1">
      <alignment horizontal="center" vertical="center" shrinkToFit="1"/>
      <protection hidden="1"/>
    </xf>
    <xf numFmtId="0" fontId="14" fillId="0" borderId="11" xfId="0" applyFont="1" applyFill="1" applyBorder="1" applyAlignment="1" applyProtection="1">
      <alignment horizontal="center" vertical="center" shrinkToFit="1"/>
      <protection hidden="1"/>
    </xf>
    <xf numFmtId="0" fontId="2" fillId="4" borderId="29" xfId="0" applyFont="1" applyFill="1" applyBorder="1" applyAlignment="1" applyProtection="1">
      <alignment horizontal="center" vertical="center" shrinkToFit="1"/>
      <protection hidden="1"/>
    </xf>
    <xf numFmtId="0" fontId="2" fillId="4" borderId="31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16" xfId="0" applyFont="1" applyFill="1" applyBorder="1" applyAlignment="1" applyProtection="1">
      <alignment horizontal="center" vertical="center" shrinkToFit="1"/>
      <protection hidden="1"/>
    </xf>
    <xf numFmtId="0" fontId="19" fillId="2" borderId="0" xfId="0" applyFont="1" applyFill="1" applyBorder="1" applyAlignment="1" applyProtection="1">
      <alignment horizontal="center" vertical="center" shrinkToFit="1"/>
      <protection hidden="1"/>
    </xf>
    <xf numFmtId="0" fontId="2" fillId="4" borderId="9" xfId="0" applyFont="1" applyFill="1" applyBorder="1" applyAlignment="1" applyProtection="1">
      <alignment horizontal="center" vertical="center" shrinkToFit="1"/>
      <protection hidden="1"/>
    </xf>
    <xf numFmtId="0" fontId="2" fillId="4" borderId="11" xfId="0" applyFont="1" applyFill="1" applyBorder="1" applyAlignment="1" applyProtection="1">
      <alignment horizontal="center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 shrinkToFit="1"/>
      <protection hidden="1"/>
    </xf>
    <xf numFmtId="0" fontId="2" fillId="3" borderId="40" xfId="0" applyFont="1" applyFill="1" applyBorder="1" applyAlignment="1" applyProtection="1">
      <alignment horizontal="center" vertical="center" wrapText="1" shrinkToFit="1"/>
      <protection hidden="1"/>
    </xf>
    <xf numFmtId="0" fontId="2" fillId="3" borderId="41" xfId="0" applyFont="1" applyFill="1" applyBorder="1" applyAlignment="1" applyProtection="1">
      <alignment horizontal="center" vertical="center" wrapText="1" shrinkToFit="1"/>
      <protection hidden="1"/>
    </xf>
    <xf numFmtId="0" fontId="2" fillId="3" borderId="19" xfId="0" applyFont="1" applyFill="1" applyBorder="1" applyAlignment="1" applyProtection="1">
      <alignment horizontal="center" vertical="center" shrinkToFit="1"/>
      <protection hidden="1"/>
    </xf>
    <xf numFmtId="0" fontId="2" fillId="3" borderId="21" xfId="0" applyFont="1" applyFill="1" applyBorder="1" applyAlignment="1" applyProtection="1">
      <alignment horizontal="center" vertical="center" shrinkToFit="1"/>
      <protection hidden="1"/>
    </xf>
    <xf numFmtId="3" fontId="2" fillId="5" borderId="47" xfId="0" applyNumberFormat="1" applyFont="1" applyFill="1" applyBorder="1" applyAlignment="1" applyProtection="1">
      <alignment horizontal="center" vertical="center" shrinkToFit="1"/>
      <protection hidden="1"/>
    </xf>
    <xf numFmtId="3" fontId="2" fillId="5" borderId="48" xfId="0" applyNumberFormat="1" applyFont="1" applyFill="1" applyBorder="1" applyAlignment="1" applyProtection="1">
      <alignment horizontal="center" vertical="center" shrinkToFit="1"/>
      <protection hidden="1"/>
    </xf>
    <xf numFmtId="3" fontId="2" fillId="5" borderId="49" xfId="0" applyNumberFormat="1" applyFont="1" applyFill="1" applyBorder="1" applyAlignment="1" applyProtection="1">
      <alignment horizontal="center" vertical="center" shrinkToFit="1"/>
      <protection hidden="1"/>
    </xf>
    <xf numFmtId="0" fontId="33" fillId="15" borderId="15" xfId="5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center" vertical="center" shrinkToFit="1"/>
      <protection hidden="1"/>
    </xf>
    <xf numFmtId="0" fontId="2" fillId="3" borderId="39" xfId="0" applyFont="1" applyFill="1" applyBorder="1" applyAlignment="1" applyProtection="1">
      <alignment horizontal="center" vertical="center" shrinkToFit="1"/>
      <protection hidden="1"/>
    </xf>
    <xf numFmtId="0" fontId="2" fillId="3" borderId="18" xfId="0" applyFont="1" applyFill="1" applyBorder="1" applyAlignment="1" applyProtection="1">
      <alignment horizontal="center" vertical="center" shrinkToFit="1"/>
      <protection hidden="1"/>
    </xf>
    <xf numFmtId="166" fontId="35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28" fillId="4" borderId="50" xfId="0" applyFont="1" applyFill="1" applyBorder="1" applyAlignment="1" applyProtection="1">
      <alignment horizontal="center" vertical="center" shrinkToFit="1"/>
      <protection hidden="1"/>
    </xf>
    <xf numFmtId="0" fontId="28" fillId="4" borderId="51" xfId="0" applyFont="1" applyFill="1" applyBorder="1" applyAlignment="1" applyProtection="1">
      <alignment horizontal="center" vertical="center" shrinkToFit="1"/>
      <protection hidden="1"/>
    </xf>
    <xf numFmtId="0" fontId="20" fillId="2" borderId="0" xfId="0" applyFont="1" applyFill="1" applyBorder="1" applyAlignment="1" applyProtection="1">
      <alignment horizontal="right" vertical="center" indent="1" shrinkToFit="1"/>
      <protection hidden="1"/>
    </xf>
    <xf numFmtId="0" fontId="20" fillId="2" borderId="16" xfId="0" applyFont="1" applyFill="1" applyBorder="1" applyAlignment="1" applyProtection="1">
      <alignment horizontal="right" vertical="center" indent="1" shrinkToFit="1"/>
      <protection hidden="1"/>
    </xf>
    <xf numFmtId="0" fontId="26" fillId="2" borderId="0" xfId="0" applyFont="1" applyFill="1" applyBorder="1" applyAlignment="1" applyProtection="1">
      <alignment horizontal="right" vertical="center" indent="1" shrinkToFit="1"/>
      <protection hidden="1"/>
    </xf>
    <xf numFmtId="0" fontId="26" fillId="2" borderId="16" xfId="0" applyFont="1" applyFill="1" applyBorder="1" applyAlignment="1" applyProtection="1">
      <alignment horizontal="right" vertical="center" indent="1" shrinkToFit="1"/>
      <protection hidden="1"/>
    </xf>
    <xf numFmtId="0" fontId="28" fillId="0" borderId="62" xfId="0" applyFont="1" applyFill="1" applyBorder="1" applyAlignment="1" applyProtection="1">
      <alignment horizontal="center" vertical="center" shrinkToFit="1"/>
      <protection hidden="1"/>
    </xf>
    <xf numFmtId="0" fontId="28" fillId="0" borderId="63" xfId="0" applyFont="1" applyFill="1" applyBorder="1" applyAlignment="1" applyProtection="1">
      <alignment horizontal="center" vertical="center" shrinkToFit="1"/>
      <protection hidden="1"/>
    </xf>
    <xf numFmtId="0" fontId="30" fillId="2" borderId="15" xfId="5" applyFont="1" applyFill="1" applyBorder="1" applyAlignment="1" applyProtection="1">
      <alignment horizontal="center" vertical="center" shrinkToFit="1"/>
      <protection locked="0"/>
    </xf>
    <xf numFmtId="0" fontId="31" fillId="15" borderId="43" xfId="5" applyFont="1" applyFill="1" applyBorder="1" applyAlignment="1" applyProtection="1">
      <alignment horizontal="center" vertical="center" shrinkToFit="1"/>
      <protection locked="0"/>
    </xf>
    <xf numFmtId="0" fontId="31" fillId="15" borderId="44" xfId="5" applyFont="1" applyFill="1" applyBorder="1" applyAlignment="1" applyProtection="1">
      <alignment horizontal="center" vertical="center" shrinkToFit="1"/>
      <protection locked="0"/>
    </xf>
    <xf numFmtId="0" fontId="31" fillId="15" borderId="43" xfId="5" applyFont="1" applyFill="1" applyBorder="1" applyAlignment="1" applyProtection="1">
      <alignment horizontal="center" vertical="center" shrinkToFit="1"/>
      <protection hidden="1"/>
    </xf>
    <xf numFmtId="0" fontId="31" fillId="15" borderId="44" xfId="5" applyFont="1" applyFill="1" applyBorder="1" applyAlignment="1" applyProtection="1">
      <alignment horizontal="center" vertical="center" shrinkToFit="1"/>
      <protection hidden="1"/>
    </xf>
    <xf numFmtId="0" fontId="27" fillId="2" borderId="17" xfId="3" applyFont="1" applyFill="1" applyBorder="1" applyAlignment="1" applyProtection="1">
      <alignment horizontal="center" vertical="center" shrinkToFit="1"/>
      <protection hidden="1"/>
    </xf>
    <xf numFmtId="0" fontId="27" fillId="2" borderId="28" xfId="3" applyFont="1" applyFill="1" applyBorder="1" applyAlignment="1" applyProtection="1">
      <alignment horizontal="center" vertical="center" shrinkToFit="1"/>
      <protection hidden="1"/>
    </xf>
    <xf numFmtId="0" fontId="7" fillId="4" borderId="54" xfId="0" applyFont="1" applyFill="1" applyBorder="1" applyAlignment="1" applyProtection="1">
      <alignment horizontal="center" vertical="center" shrinkToFit="1"/>
      <protection hidden="1"/>
    </xf>
    <xf numFmtId="0" fontId="7" fillId="4" borderId="55" xfId="0" applyFont="1" applyFill="1" applyBorder="1" applyAlignment="1" applyProtection="1">
      <alignment horizontal="center" vertical="center" shrinkToFit="1"/>
      <protection hidden="1"/>
    </xf>
    <xf numFmtId="0" fontId="32" fillId="2" borderId="15" xfId="4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hidden="1"/>
    </xf>
    <xf numFmtId="0" fontId="2" fillId="4" borderId="30" xfId="0" applyFont="1" applyFill="1" applyBorder="1" applyAlignment="1" applyProtection="1">
      <alignment horizontal="center" vertical="center" shrinkToFit="1"/>
      <protection hidden="1"/>
    </xf>
    <xf numFmtId="0" fontId="13" fillId="9" borderId="29" xfId="0" applyFont="1" applyFill="1" applyBorder="1" applyAlignment="1" applyProtection="1">
      <alignment horizontal="center" vertical="center" shrinkToFit="1"/>
      <protection hidden="1"/>
    </xf>
    <xf numFmtId="0" fontId="13" fillId="9" borderId="30" xfId="0" applyFont="1" applyFill="1" applyBorder="1" applyAlignment="1" applyProtection="1">
      <alignment horizontal="center" vertical="center" shrinkToFit="1"/>
      <protection hidden="1"/>
    </xf>
    <xf numFmtId="0" fontId="31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23" fillId="2" borderId="0" xfId="0" applyFont="1" applyFill="1" applyBorder="1" applyAlignment="1" applyProtection="1">
      <alignment horizontal="center" vertical="center" shrinkToFit="1"/>
      <protection hidden="1"/>
    </xf>
    <xf numFmtId="0" fontId="23" fillId="2" borderId="16" xfId="0" applyFont="1" applyFill="1" applyBorder="1" applyAlignment="1" applyProtection="1">
      <alignment horizontal="center" vertical="center" shrinkToFit="1"/>
      <protection hidden="1"/>
    </xf>
    <xf numFmtId="0" fontId="23" fillId="2" borderId="0" xfId="0" applyFont="1" applyFill="1" applyBorder="1" applyAlignment="1" applyProtection="1">
      <alignment horizontal="center" vertical="center" shrinkToFit="1"/>
      <protection hidden="1"/>
    </xf>
    <xf numFmtId="0" fontId="23" fillId="2" borderId="0" xfId="0" applyFont="1" applyFill="1" applyAlignment="1" applyProtection="1">
      <alignment horizontal="center" vertical="center" shrinkToFit="1"/>
      <protection hidden="1"/>
    </xf>
    <xf numFmtId="0" fontId="36" fillId="2" borderId="0" xfId="0" applyFont="1" applyFill="1" applyBorder="1" applyAlignment="1" applyProtection="1">
      <alignment horizontal="center" vertical="center" shrinkToFit="1"/>
      <protection hidden="1"/>
    </xf>
    <xf numFmtId="0" fontId="9" fillId="2" borderId="24" xfId="0" applyFont="1" applyFill="1" applyBorder="1" applyAlignment="1" applyProtection="1">
      <alignment horizontal="center" vertical="center" shrinkToFit="1"/>
      <protection hidden="1"/>
    </xf>
  </cellXfs>
  <cellStyles count="6">
    <cellStyle name="Calculation" xfId="3" builtinId="22"/>
    <cellStyle name="Check Cell" xfId="4" builtinId="23"/>
    <cellStyle name="Comma" xfId="1" builtinId="3"/>
    <cellStyle name="Normal" xfId="0" builtinId="0"/>
    <cellStyle name="Normal 2" xfId="2"/>
    <cellStyle name="Note" xfId="5" builtinId="1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04B48"/>
      <color rgb="FFC55A57"/>
      <color rgb="FFD07876"/>
      <color rgb="FFCC3300"/>
      <color rgb="FFFFFFCC"/>
      <color rgb="FF006600"/>
      <color rgb="FF003399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B$9" max="31" min="1" page="10"/>
</file>

<file path=xl/ctrlProps/ctrlProp2.xml><?xml version="1.0" encoding="utf-8"?>
<formControlPr xmlns="http://schemas.microsoft.com/office/spreadsheetml/2009/9/main" objectType="Spin" dx="22" fmlaLink="$AD$9" max="31" min="1" page="10"/>
</file>

<file path=xl/ctrlProps/ctrlProp3.xml><?xml version="1.0" encoding="utf-8"?>
<formControlPr xmlns="http://schemas.microsoft.com/office/spreadsheetml/2009/9/main" objectType="Spin" dx="22" fmlaLink="$AB$8" max="12" min="1" page="10"/>
</file>

<file path=xl/ctrlProps/ctrlProp4.xml><?xml version="1.0" encoding="utf-8"?>
<formControlPr xmlns="http://schemas.microsoft.com/office/spreadsheetml/2009/9/main" objectType="Spin" dx="22" fmlaLink="$AD$8" max="12" min="1" page="1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://8soft.ir/" TargetMode="External"/><Relationship Id="rId3" Type="http://schemas.openxmlformats.org/officeDocument/2006/relationships/hyperlink" Target="#'02'!A1"/><Relationship Id="rId7" Type="http://schemas.openxmlformats.org/officeDocument/2006/relationships/hyperlink" Target="#'04'!A1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hyperlink" Target="#'01'!A1"/><Relationship Id="rId6" Type="http://schemas.openxmlformats.org/officeDocument/2006/relationships/image" Target="../media/image3.png"/><Relationship Id="rId11" Type="http://schemas.openxmlformats.org/officeDocument/2006/relationships/hyperlink" Target="http://bimehiran5037.ir/" TargetMode="External"/><Relationship Id="rId5" Type="http://schemas.openxmlformats.org/officeDocument/2006/relationships/hyperlink" Target="#'03'!A1"/><Relationship Id="rId15" Type="http://schemas.openxmlformats.org/officeDocument/2006/relationships/hyperlink" Target="http://geparlys-b.ir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05'!A1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ain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244928</xdr:colOff>
      <xdr:row>0</xdr:row>
      <xdr:rowOff>394607</xdr:rowOff>
    </xdr:from>
    <xdr:to>
      <xdr:col>33</xdr:col>
      <xdr:colOff>380999</xdr:colOff>
      <xdr:row>14</xdr:row>
      <xdr:rowOff>275509</xdr:rowOff>
    </xdr:to>
    <xdr:sp macro="" textlink="">
      <xdr:nvSpPr>
        <xdr:cNvPr id="15" name="Rounded Rectangle 14"/>
        <xdr:cNvSpPr/>
      </xdr:nvSpPr>
      <xdr:spPr>
        <a:xfrm>
          <a:off x="11124138644" y="394607"/>
          <a:ext cx="15103928" cy="6657259"/>
        </a:xfrm>
        <a:prstGeom prst="roundRect">
          <a:avLst>
            <a:gd name="adj" fmla="val 6967"/>
          </a:avLst>
        </a:prstGeom>
        <a:solidFill>
          <a:schemeClr val="accent1">
            <a:lumMod val="75000"/>
          </a:schemeClr>
        </a:solidFill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rtlCol="1" anchor="ctr"/>
        <a:lstStyle/>
        <a:p>
          <a:pPr algn="ctr" rtl="1"/>
          <a:endParaRPr lang="fa-IR" sz="1100"/>
        </a:p>
      </xdr:txBody>
    </xdr:sp>
    <xdr:clientData/>
  </xdr:twoCellAnchor>
  <xdr:twoCellAnchor>
    <xdr:from>
      <xdr:col>29</xdr:col>
      <xdr:colOff>653143</xdr:colOff>
      <xdr:row>2</xdr:row>
      <xdr:rowOff>95250</xdr:rowOff>
    </xdr:from>
    <xdr:to>
      <xdr:col>32</xdr:col>
      <xdr:colOff>571500</xdr:colOff>
      <xdr:row>13</xdr:row>
      <xdr:rowOff>149678</xdr:rowOff>
    </xdr:to>
    <xdr:sp macro="" textlink="">
      <xdr:nvSpPr>
        <xdr:cNvPr id="22" name="Rounded Rectangle 21"/>
        <xdr:cNvSpPr/>
      </xdr:nvSpPr>
      <xdr:spPr>
        <a:xfrm>
          <a:off x="11124628500" y="911679"/>
          <a:ext cx="1959429" cy="5510892"/>
        </a:xfrm>
        <a:prstGeom prst="roundRect">
          <a:avLst>
            <a:gd name="adj" fmla="val 21473"/>
          </a:avLst>
        </a:prstGeom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11</xdr:col>
      <xdr:colOff>244649</xdr:colOff>
      <xdr:row>14</xdr:row>
      <xdr:rowOff>435430</xdr:rowOff>
    </xdr:from>
    <xdr:to>
      <xdr:col>33</xdr:col>
      <xdr:colOff>367392</xdr:colOff>
      <xdr:row>26</xdr:row>
      <xdr:rowOff>68035</xdr:rowOff>
    </xdr:to>
    <xdr:sp macro="" textlink="">
      <xdr:nvSpPr>
        <xdr:cNvPr id="14" name="Rounded Rectangle 13"/>
        <xdr:cNvSpPr/>
      </xdr:nvSpPr>
      <xdr:spPr>
        <a:xfrm>
          <a:off x="11124152251" y="7211787"/>
          <a:ext cx="15090600" cy="5674177"/>
        </a:xfrm>
        <a:prstGeom prst="roundRect">
          <a:avLst>
            <a:gd name="adj" fmla="val 4987"/>
          </a:avLst>
        </a:prstGeom>
        <a:noFill/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rtlCol="1" anchor="ctr"/>
        <a:lstStyle/>
        <a:p>
          <a:pPr algn="ctr" rtl="1"/>
          <a:endParaRPr lang="fa-IR" sz="1100"/>
        </a:p>
      </xdr:txBody>
    </xdr:sp>
    <xdr:clientData/>
  </xdr:twoCellAnchor>
  <xdr:twoCellAnchor>
    <xdr:from>
      <xdr:col>11</xdr:col>
      <xdr:colOff>506101</xdr:colOff>
      <xdr:row>15</xdr:row>
      <xdr:rowOff>202688</xdr:rowOff>
    </xdr:from>
    <xdr:to>
      <xdr:col>31</xdr:col>
      <xdr:colOff>272144</xdr:colOff>
      <xdr:row>25</xdr:row>
      <xdr:rowOff>272143</xdr:rowOff>
    </xdr:to>
    <xdr:grpSp>
      <xdr:nvGrpSpPr>
        <xdr:cNvPr id="31" name="Group 30"/>
        <xdr:cNvGrpSpPr/>
      </xdr:nvGrpSpPr>
      <xdr:grpSpPr>
        <a:xfrm>
          <a:off x="11125608214" y="7482509"/>
          <a:ext cx="13373185" cy="5104098"/>
          <a:chOff x="11114450357" y="665330"/>
          <a:chExt cx="13373185" cy="5104098"/>
        </a:xfrm>
      </xdr:grpSpPr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1114450357" y="1438698"/>
            <a:ext cx="13373185" cy="43307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</a:t>
            </a:r>
            <a:r>
              <a:rPr lang="en-US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 </a:t>
            </a: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 مبلغ حق بیمه برای وسایل نقلیه سواری با کاربری آژانس ، تاکسی ، کرایه و مسافرکش شخصی درون شهری 20% به حق بیمه کل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 برای سواری کرایه و مسافرکش شخصی برون شهری 35% به حق بیمه کل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 برای  وسایل نقلیه ای که برای تعلیم رانندگی به کار می روند 15% به حق بیمه کل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</a:t>
            </a:r>
            <a:r>
              <a:rPr lang="en-US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 </a:t>
            </a: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 برای وسایل نقلیه با عمر بیش از 15 سال ، به ازای هر سال 2% و حداکثر 10% به حق بیمه کل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 در صورتی که وسلیه نقلیه بارکش برای حمل مواد منفجره به کار رود  به حق بیمه مربوطه 50%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در صورتی که وسلیه نقلیه بارکش برای حمل مواد سوختنی مایع و گازی شکل استفاده گردد ، 25% به حق بیمه مربوط اضافه می شود</a:t>
            </a:r>
            <a:endParaRPr lang="en-US" sz="1600" b="1" i="0" u="none" strike="noStrike" baseline="0">
              <a:solidFill>
                <a:srgbClr val="000000"/>
              </a:solidFill>
              <a:cs typeface="B Nazanin" pitchFamily="2" charset="-78"/>
            </a:endParaRP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 حداکثر حق بیمه پوشش حوادث راننده برای سواری 660/000 ریال ، برای اتوبوس و بارکش 2/200/000 ریال و برای موتورسیکلت 550/000 ریال است که به  حق بیمه شخص ثالث اضافه می شود.</a:t>
            </a:r>
          </a:p>
          <a:p>
            <a:pPr algn="r" rtl="1">
              <a:lnSpc>
                <a:spcPct val="150000"/>
              </a:lnSpc>
              <a:defRPr sz="1000"/>
            </a:pPr>
            <a:r>
              <a:rPr lang="fa-IR" sz="1600" b="1" i="0" u="none" strike="noStrike" baseline="0">
                <a:solidFill>
                  <a:srgbClr val="000000"/>
                </a:solidFill>
                <a:cs typeface="B Nazanin" pitchFamily="2" charset="-78"/>
              </a:rPr>
              <a:t>* بر اساس قانون ، به حق بیمه هر خودور مبلغ مقرر مالیات بر ارزش افزوده اضافه می شود</a:t>
            </a:r>
            <a:endParaRPr lang="en-US" sz="1600" b="1" i="0" u="none" strike="noStrike" baseline="0">
              <a:solidFill>
                <a:srgbClr val="000000"/>
              </a:solidFill>
              <a:cs typeface="B Nazanin" pitchFamily="2" charset="-78"/>
            </a:endParaRPr>
          </a:p>
        </xdr:txBody>
      </xdr:sp>
      <xdr:sp macro="" textlink="">
        <xdr:nvSpPr>
          <xdr:cNvPr id="75" name="TextBox 74"/>
          <xdr:cNvSpPr txBox="1"/>
        </xdr:nvSpPr>
        <xdr:spPr>
          <a:xfrm>
            <a:off x="11119911817" y="665330"/>
            <a:ext cx="7741212" cy="6222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1" anchor="ctr">
            <a:noAutofit/>
          </a:bodyPr>
          <a:lstStyle/>
          <a:p>
            <a:pPr algn="r" rtl="1"/>
            <a:r>
              <a:rPr lang="fa-IR" sz="2000" b="0" cap="none" spc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cs typeface="B Titr" pitchFamily="2" charset="-78"/>
              </a:rPr>
              <a:t>توضیحات</a:t>
            </a:r>
            <a:r>
              <a:rPr lang="fa-IR" sz="2000" b="0" cap="none" spc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cs typeface="B Titr" pitchFamily="2" charset="-78"/>
              </a:rPr>
              <a:t> تکمیلی نرخ های بیمه نامه ( بر اساس دستورالعمل بیمه مرکزی )</a:t>
            </a:r>
            <a:endParaRPr lang="fa-IR" sz="2000" b="0" cap="none" spc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cs typeface="B Titr" pitchFamily="2" charset="-78"/>
            </a:endParaRPr>
          </a:p>
        </xdr:txBody>
      </xdr:sp>
    </xdr:grpSp>
    <xdr:clientData/>
  </xdr:twoCellAnchor>
  <xdr:twoCellAnchor>
    <xdr:from>
      <xdr:col>19</xdr:col>
      <xdr:colOff>138253</xdr:colOff>
      <xdr:row>5</xdr:row>
      <xdr:rowOff>423142</xdr:rowOff>
    </xdr:from>
    <xdr:to>
      <xdr:col>27</xdr:col>
      <xdr:colOff>596529</xdr:colOff>
      <xdr:row>8</xdr:row>
      <xdr:rowOff>217714</xdr:rowOff>
    </xdr:to>
    <xdr:sp macro="" textlink="">
      <xdr:nvSpPr>
        <xdr:cNvPr id="6" name="TextBox 5"/>
        <xdr:cNvSpPr txBox="1"/>
      </xdr:nvSpPr>
      <xdr:spPr>
        <a:xfrm>
          <a:off x="11128005257" y="2559463"/>
          <a:ext cx="5901133" cy="13866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t">
          <a:noAutofit/>
        </a:bodyPr>
        <a:lstStyle/>
        <a:p>
          <a:pPr algn="ctr" rtl="1"/>
          <a:r>
            <a:rPr lang="fa-IR" sz="1600" b="1">
              <a:solidFill>
                <a:schemeClr val="bg1"/>
              </a:solidFill>
              <a:cs typeface="B Titr" pitchFamily="2" charset="-78"/>
            </a:rPr>
            <a:t> مالی</a:t>
          </a:r>
          <a:r>
            <a:rPr lang="fa-IR" sz="1600" b="1" baseline="0">
              <a:solidFill>
                <a:schemeClr val="bg1"/>
              </a:solidFill>
              <a:cs typeface="B Titr" pitchFamily="2" charset="-78"/>
            </a:rPr>
            <a:t> :  55/000/000 ریال</a:t>
          </a:r>
        </a:p>
        <a:p>
          <a:pPr algn="ctr" rtl="1"/>
          <a:r>
            <a:rPr lang="fa-IR" sz="1600" b="1" baseline="0">
              <a:solidFill>
                <a:schemeClr val="bg1"/>
              </a:solidFill>
              <a:cs typeface="B Titr" pitchFamily="2" charset="-78"/>
            </a:rPr>
            <a:t> بدنی ( هرنفر ) :  2/200/000/000 ریال</a:t>
          </a:r>
        </a:p>
        <a:p>
          <a:pPr algn="ctr" rtl="1"/>
          <a:r>
            <a:rPr lang="fa-IR" sz="1600" b="1" baseline="0">
              <a:solidFill>
                <a:schemeClr val="bg1"/>
              </a:solidFill>
              <a:cs typeface="B Titr" pitchFamily="2" charset="-78"/>
            </a:rPr>
            <a:t> حوادث راننده ( راننده مسبب حادثه ) :  2/200/000/000 ریال</a:t>
          </a:r>
          <a:endParaRPr lang="fa-IR" sz="1600" b="1">
            <a:solidFill>
              <a:schemeClr val="bg1"/>
            </a:solidFill>
            <a:cs typeface="B Titr" pitchFamily="2" charset="-78"/>
          </a:endParaRPr>
        </a:p>
      </xdr:txBody>
    </xdr:sp>
    <xdr:clientData/>
  </xdr:twoCellAnchor>
  <xdr:twoCellAnchor>
    <xdr:from>
      <xdr:col>19</xdr:col>
      <xdr:colOff>376297</xdr:colOff>
      <xdr:row>2</xdr:row>
      <xdr:rowOff>10647</xdr:rowOff>
    </xdr:from>
    <xdr:to>
      <xdr:col>27</xdr:col>
      <xdr:colOff>358485</xdr:colOff>
      <xdr:row>3</xdr:row>
      <xdr:rowOff>226489</xdr:rowOff>
    </xdr:to>
    <xdr:sp macro="" textlink="">
      <xdr:nvSpPr>
        <xdr:cNvPr id="16" name="TextBox 15"/>
        <xdr:cNvSpPr txBox="1"/>
      </xdr:nvSpPr>
      <xdr:spPr>
        <a:xfrm>
          <a:off x="11128243301" y="827076"/>
          <a:ext cx="5425045" cy="6240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r>
            <a:rPr lang="fa-IR" sz="28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bg1"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نرم</a:t>
          </a:r>
          <a:r>
            <a:rPr lang="fa-IR" sz="2800" b="1" cap="none" spc="5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bg1"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 افزار نرخ دهی بیمه شخص ثالث </a:t>
          </a:r>
          <a:endParaRPr lang="fa-IR" sz="28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bg1"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  <a:cs typeface="B Titr" pitchFamily="2" charset="-78"/>
          </a:endParaRPr>
        </a:p>
      </xdr:txBody>
    </xdr:sp>
    <xdr:clientData/>
  </xdr:twoCellAnchor>
  <xdr:twoCellAnchor>
    <xdr:from>
      <xdr:col>12</xdr:col>
      <xdr:colOff>285750</xdr:colOff>
      <xdr:row>2</xdr:row>
      <xdr:rowOff>78764</xdr:rowOff>
    </xdr:from>
    <xdr:to>
      <xdr:col>18</xdr:col>
      <xdr:colOff>226775</xdr:colOff>
      <xdr:row>12</xdr:row>
      <xdr:rowOff>421821</xdr:rowOff>
    </xdr:to>
    <xdr:sp macro="" textlink="">
      <xdr:nvSpPr>
        <xdr:cNvPr id="26" name="Rounded Rectangle 25"/>
        <xdr:cNvSpPr/>
      </xdr:nvSpPr>
      <xdr:spPr>
        <a:xfrm>
          <a:off x="11134498225" y="895193"/>
          <a:ext cx="4023168" cy="5296057"/>
        </a:xfrm>
        <a:prstGeom prst="roundRect">
          <a:avLst>
            <a:gd name="adj" fmla="val 4820"/>
          </a:avLst>
        </a:prstGeom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21</xdr:col>
      <xdr:colOff>421820</xdr:colOff>
      <xdr:row>10</xdr:row>
      <xdr:rowOff>59152</xdr:rowOff>
    </xdr:from>
    <xdr:to>
      <xdr:col>25</xdr:col>
      <xdr:colOff>312962</xdr:colOff>
      <xdr:row>11</xdr:row>
      <xdr:rowOff>113920</xdr:rowOff>
    </xdr:to>
    <xdr:sp macro="" textlink="">
      <xdr:nvSpPr>
        <xdr:cNvPr id="24" name="TextBox 23"/>
        <xdr:cNvSpPr txBox="1"/>
      </xdr:nvSpPr>
      <xdr:spPr>
        <a:xfrm>
          <a:off x="11129649538" y="4821652"/>
          <a:ext cx="2612571" cy="558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ctr">
          <a:noAutofit/>
        </a:bodyPr>
        <a:lstStyle/>
        <a:p>
          <a:pPr algn="ctr" rtl="1"/>
          <a:r>
            <a:rPr lang="en-US" sz="2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  <a:cs typeface="B Titr" pitchFamily="2" charset="-78"/>
            </a:rPr>
            <a:t>HEDESH Software</a:t>
          </a:r>
          <a:endParaRPr lang="fa-IR" sz="2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cs typeface="B Titr" pitchFamily="2" charset="-78"/>
          </a:endParaRPr>
        </a:p>
      </xdr:txBody>
    </xdr:sp>
    <xdr:clientData/>
  </xdr:twoCellAnchor>
  <xdr:twoCellAnchor>
    <xdr:from>
      <xdr:col>12</xdr:col>
      <xdr:colOff>454613</xdr:colOff>
      <xdr:row>2</xdr:row>
      <xdr:rowOff>282269</xdr:rowOff>
    </xdr:from>
    <xdr:to>
      <xdr:col>18</xdr:col>
      <xdr:colOff>63577</xdr:colOff>
      <xdr:row>4</xdr:row>
      <xdr:rowOff>316886</xdr:rowOff>
    </xdr:to>
    <xdr:pic>
      <xdr:nvPicPr>
        <xdr:cNvPr id="111" name="Picture 1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34661423" y="1098698"/>
          <a:ext cx="3691107" cy="851045"/>
        </a:xfrm>
        <a:prstGeom prst="rect">
          <a:avLst/>
        </a:prstGeom>
      </xdr:spPr>
    </xdr:pic>
    <xdr:clientData/>
  </xdr:twoCellAnchor>
  <xdr:twoCellAnchor>
    <xdr:from>
      <xdr:col>12</xdr:col>
      <xdr:colOff>454613</xdr:colOff>
      <xdr:row>4</xdr:row>
      <xdr:rowOff>443111</xdr:rowOff>
    </xdr:from>
    <xdr:to>
      <xdr:col>18</xdr:col>
      <xdr:colOff>63577</xdr:colOff>
      <xdr:row>6</xdr:row>
      <xdr:rowOff>247828</xdr:rowOff>
    </xdr:to>
    <xdr:pic>
      <xdr:nvPicPr>
        <xdr:cNvPr id="112" name="Picture 1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134661423" y="2075968"/>
          <a:ext cx="3691107" cy="838860"/>
        </a:xfrm>
        <a:prstGeom prst="rect">
          <a:avLst/>
        </a:prstGeom>
      </xdr:spPr>
    </xdr:pic>
    <xdr:clientData/>
  </xdr:twoCellAnchor>
  <xdr:twoCellAnchor>
    <xdr:from>
      <xdr:col>12</xdr:col>
      <xdr:colOff>454613</xdr:colOff>
      <xdr:row>6</xdr:row>
      <xdr:rowOff>412515</xdr:rowOff>
    </xdr:from>
    <xdr:to>
      <xdr:col>18</xdr:col>
      <xdr:colOff>63577</xdr:colOff>
      <xdr:row>8</xdr:row>
      <xdr:rowOff>194993</xdr:rowOff>
    </xdr:to>
    <xdr:pic>
      <xdr:nvPicPr>
        <xdr:cNvPr id="113" name="Picture 11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134661423" y="3079515"/>
          <a:ext cx="3691107" cy="843835"/>
        </a:xfrm>
        <a:prstGeom prst="rect">
          <a:avLst/>
        </a:prstGeom>
      </xdr:spPr>
    </xdr:pic>
    <xdr:clientData/>
  </xdr:twoCellAnchor>
  <xdr:twoCellAnchor>
    <xdr:from>
      <xdr:col>12</xdr:col>
      <xdr:colOff>454613</xdr:colOff>
      <xdr:row>8</xdr:row>
      <xdr:rowOff>370354</xdr:rowOff>
    </xdr:from>
    <xdr:to>
      <xdr:col>18</xdr:col>
      <xdr:colOff>63577</xdr:colOff>
      <xdr:row>10</xdr:row>
      <xdr:rowOff>201634</xdr:rowOff>
    </xdr:to>
    <xdr:pic>
      <xdr:nvPicPr>
        <xdr:cNvPr id="114" name="Picture 113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134661423" y="4098711"/>
          <a:ext cx="3691107" cy="865423"/>
        </a:xfrm>
        <a:prstGeom prst="rect">
          <a:avLst/>
        </a:prstGeom>
      </xdr:spPr>
    </xdr:pic>
    <xdr:clientData/>
  </xdr:twoCellAnchor>
  <xdr:twoCellAnchor>
    <xdr:from>
      <xdr:col>12</xdr:col>
      <xdr:colOff>454613</xdr:colOff>
      <xdr:row>10</xdr:row>
      <xdr:rowOff>367204</xdr:rowOff>
    </xdr:from>
    <xdr:to>
      <xdr:col>18</xdr:col>
      <xdr:colOff>63577</xdr:colOff>
      <xdr:row>12</xdr:row>
      <xdr:rowOff>204110</xdr:rowOff>
    </xdr:to>
    <xdr:pic>
      <xdr:nvPicPr>
        <xdr:cNvPr id="115" name="Picture 114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134661423" y="5129704"/>
          <a:ext cx="3691107" cy="843835"/>
        </a:xfrm>
        <a:prstGeom prst="rect">
          <a:avLst/>
        </a:prstGeom>
      </xdr:spPr>
    </xdr:pic>
    <xdr:clientData/>
  </xdr:twoCellAnchor>
  <xdr:twoCellAnchor editAs="oneCell">
    <xdr:from>
      <xdr:col>30</xdr:col>
      <xdr:colOff>74680</xdr:colOff>
      <xdr:row>2</xdr:row>
      <xdr:rowOff>353137</xdr:rowOff>
    </xdr:from>
    <xdr:to>
      <xdr:col>32</xdr:col>
      <xdr:colOff>415505</xdr:colOff>
      <xdr:row>6</xdr:row>
      <xdr:rowOff>204106</xdr:rowOff>
    </xdr:to>
    <xdr:pic>
      <xdr:nvPicPr>
        <xdr:cNvPr id="3" name="Picture 2">
          <a:hlinkClick xmlns:r="http://schemas.openxmlformats.org/officeDocument/2006/relationships" r:id="rId11"/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4784495" y="1169566"/>
          <a:ext cx="1701540" cy="1701540"/>
        </a:xfrm>
        <a:prstGeom prst="rect">
          <a:avLst/>
        </a:prstGeom>
      </xdr:spPr>
    </xdr:pic>
    <xdr:clientData/>
  </xdr:twoCellAnchor>
  <xdr:twoCellAnchor>
    <xdr:from>
      <xdr:col>19</xdr:col>
      <xdr:colOff>376297</xdr:colOff>
      <xdr:row>3</xdr:row>
      <xdr:rowOff>378040</xdr:rowOff>
    </xdr:from>
    <xdr:to>
      <xdr:col>27</xdr:col>
      <xdr:colOff>358485</xdr:colOff>
      <xdr:row>5</xdr:row>
      <xdr:rowOff>90418</xdr:rowOff>
    </xdr:to>
    <xdr:sp macro="" textlink="">
      <xdr:nvSpPr>
        <xdr:cNvPr id="21" name="TextBox 20"/>
        <xdr:cNvSpPr txBox="1"/>
      </xdr:nvSpPr>
      <xdr:spPr>
        <a:xfrm>
          <a:off x="11128243301" y="1602683"/>
          <a:ext cx="5425045" cy="6240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r>
            <a:rPr lang="fa-IR" sz="25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bg1"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ویرایش تیرماه 1394 </a:t>
          </a:r>
        </a:p>
      </xdr:txBody>
    </xdr:sp>
    <xdr:clientData/>
  </xdr:twoCellAnchor>
  <xdr:twoCellAnchor>
    <xdr:from>
      <xdr:col>20</xdr:col>
      <xdr:colOff>621403</xdr:colOff>
      <xdr:row>11</xdr:row>
      <xdr:rowOff>177826</xdr:rowOff>
    </xdr:from>
    <xdr:to>
      <xdr:col>26</xdr:col>
      <xdr:colOff>113380</xdr:colOff>
      <xdr:row>12</xdr:row>
      <xdr:rowOff>263601</xdr:rowOff>
    </xdr:to>
    <xdr:sp macro="" textlink="">
      <xdr:nvSpPr>
        <xdr:cNvPr id="23" name="TextBox 22"/>
        <xdr:cNvSpPr txBox="1"/>
      </xdr:nvSpPr>
      <xdr:spPr>
        <a:xfrm>
          <a:off x="11129168763" y="5443790"/>
          <a:ext cx="3574120" cy="589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ctr">
          <a:noAutofit/>
        </a:bodyPr>
        <a:lstStyle/>
        <a:p>
          <a:pPr algn="ctr" rtl="1"/>
          <a:r>
            <a:rPr lang="en-US" sz="2400">
              <a:solidFill>
                <a:schemeClr val="accent1">
                  <a:lumMod val="60000"/>
                  <a:lumOff val="40000"/>
                </a:schemeClr>
              </a:solidFill>
              <a:cs typeface="B Titr" pitchFamily="2" charset="-78"/>
            </a:rPr>
            <a:t>info.hedesh@mail.com</a:t>
          </a:r>
          <a:endParaRPr lang="fa-IR" sz="2400">
            <a:solidFill>
              <a:schemeClr val="accent1">
                <a:lumMod val="60000"/>
                <a:lumOff val="40000"/>
              </a:schemeClr>
            </a:solidFill>
            <a:cs typeface="B Titr" pitchFamily="2" charset="-78"/>
          </a:endParaRPr>
        </a:p>
      </xdr:txBody>
    </xdr:sp>
    <xdr:clientData/>
  </xdr:twoCellAnchor>
  <xdr:twoCellAnchor>
    <xdr:from>
      <xdr:col>18</xdr:col>
      <xdr:colOff>517070</xdr:colOff>
      <xdr:row>8</xdr:row>
      <xdr:rowOff>178212</xdr:rowOff>
    </xdr:from>
    <xdr:to>
      <xdr:col>28</xdr:col>
      <xdr:colOff>217713</xdr:colOff>
      <xdr:row>9</xdr:row>
      <xdr:rowOff>217713</xdr:rowOff>
    </xdr:to>
    <xdr:sp macro="" textlink="">
      <xdr:nvSpPr>
        <xdr:cNvPr id="25" name="TextBox 24"/>
        <xdr:cNvSpPr txBox="1"/>
      </xdr:nvSpPr>
      <xdr:spPr>
        <a:xfrm>
          <a:off x="11127703716" y="3906569"/>
          <a:ext cx="6504214" cy="570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t">
          <a:noAutofit/>
        </a:bodyPr>
        <a:lstStyle/>
        <a:p>
          <a:pPr algn="ctr" rtl="1"/>
          <a:r>
            <a:rPr lang="fa-IR" sz="1600" b="1" u="none" baseline="0">
              <a:solidFill>
                <a:schemeClr val="bg1"/>
              </a:solidFill>
              <a:latin typeface="+mn-lt"/>
              <a:ea typeface="+mn-ea"/>
              <a:cs typeface="B Titr" pitchFamily="2" charset="-78"/>
            </a:rPr>
            <a:t>این نرم افزار  بر مبنای </a:t>
          </a:r>
          <a:r>
            <a:rPr lang="fa-IR" sz="1600" b="1" u="none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B Titr" pitchFamily="2" charset="-78"/>
            </a:rPr>
            <a:t>جدول محاسبه بیمه شخص ثالث</a:t>
          </a:r>
          <a:r>
            <a:rPr lang="fa-IR" sz="1600" b="1" u="none" baseline="0">
              <a:solidFill>
                <a:schemeClr val="bg1"/>
              </a:solidFill>
              <a:latin typeface="+mn-lt"/>
              <a:ea typeface="+mn-ea"/>
              <a:cs typeface="B Titr" pitchFamily="2" charset="-78"/>
            </a:rPr>
            <a:t> بیمه مرکزی طراحی شده است.</a:t>
          </a:r>
        </a:p>
      </xdr:txBody>
    </xdr:sp>
    <xdr:clientData/>
  </xdr:twoCellAnchor>
  <xdr:twoCellAnchor editAs="oneCell">
    <xdr:from>
      <xdr:col>30</xdr:col>
      <xdr:colOff>204840</xdr:colOff>
      <xdr:row>6</xdr:row>
      <xdr:rowOff>438870</xdr:rowOff>
    </xdr:from>
    <xdr:to>
      <xdr:col>32</xdr:col>
      <xdr:colOff>259916</xdr:colOff>
      <xdr:row>9</xdr:row>
      <xdr:rowOff>272150</xdr:rowOff>
    </xdr:to>
    <xdr:pic>
      <xdr:nvPicPr>
        <xdr:cNvPr id="28" name="Picture 27">
          <a:hlinkClick xmlns:r="http://schemas.openxmlformats.org/officeDocument/2006/relationships" r:id="rId13"/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4940084" y="3105870"/>
          <a:ext cx="1415791" cy="1425316"/>
        </a:xfrm>
        <a:prstGeom prst="rect">
          <a:avLst/>
        </a:prstGeom>
      </xdr:spPr>
    </xdr:pic>
    <xdr:clientData/>
  </xdr:twoCellAnchor>
  <xdr:twoCellAnchor editAs="oneCell">
    <xdr:from>
      <xdr:col>30</xdr:col>
      <xdr:colOff>259267</xdr:colOff>
      <xdr:row>9</xdr:row>
      <xdr:rowOff>502814</xdr:rowOff>
    </xdr:from>
    <xdr:to>
      <xdr:col>32</xdr:col>
      <xdr:colOff>314343</xdr:colOff>
      <xdr:row>12</xdr:row>
      <xdr:rowOff>408212</xdr:rowOff>
    </xdr:to>
    <xdr:pic>
      <xdr:nvPicPr>
        <xdr:cNvPr id="30" name="Picture 29">
          <a:hlinkClick xmlns:r="http://schemas.openxmlformats.org/officeDocument/2006/relationships" r:id="rId15"/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4885657" y="4761850"/>
          <a:ext cx="1415791" cy="1415791"/>
        </a:xfrm>
        <a:prstGeom prst="rect">
          <a:avLst/>
        </a:prstGeom>
      </xdr:spPr>
    </xdr:pic>
    <xdr:clientData/>
  </xdr:twoCellAnchor>
  <xdr:twoCellAnchor>
    <xdr:from>
      <xdr:col>20</xdr:col>
      <xdr:colOff>356064</xdr:colOff>
      <xdr:row>12</xdr:row>
      <xdr:rowOff>313897</xdr:rowOff>
    </xdr:from>
    <xdr:to>
      <xdr:col>26</xdr:col>
      <xdr:colOff>378718</xdr:colOff>
      <xdr:row>13</xdr:row>
      <xdr:rowOff>399673</xdr:rowOff>
    </xdr:to>
    <xdr:sp macro="" textlink="">
      <xdr:nvSpPr>
        <xdr:cNvPr id="34" name="TextBox 33"/>
        <xdr:cNvSpPr txBox="1"/>
      </xdr:nvSpPr>
      <xdr:spPr>
        <a:xfrm>
          <a:off x="11128903425" y="6083326"/>
          <a:ext cx="4104797" cy="589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ctr">
          <a:noAutofit/>
        </a:bodyPr>
        <a:lstStyle/>
        <a:p>
          <a:pPr algn="ctr" rtl="1"/>
          <a:r>
            <a:rPr lang="en-US" sz="2400">
              <a:solidFill>
                <a:schemeClr val="accent1">
                  <a:lumMod val="60000"/>
                  <a:lumOff val="40000"/>
                </a:schemeClr>
              </a:solidFill>
              <a:cs typeface="B Titr" pitchFamily="2" charset="-78"/>
            </a:rPr>
            <a:t>http://hedesh.zepo.ir</a:t>
          </a:r>
          <a:endParaRPr lang="fa-IR" sz="2400">
            <a:solidFill>
              <a:schemeClr val="accent1">
                <a:lumMod val="60000"/>
                <a:lumOff val="40000"/>
              </a:schemeClr>
            </a:solidFill>
            <a:cs typeface="B Titr" pitchFamily="2" charset="-78"/>
          </a:endParaRPr>
        </a:p>
      </xdr:txBody>
    </xdr:sp>
    <xdr:clientData/>
  </xdr:twoCellAnchor>
  <xdr:twoCellAnchor>
    <xdr:from>
      <xdr:col>18</xdr:col>
      <xdr:colOff>585106</xdr:colOff>
      <xdr:row>9</xdr:row>
      <xdr:rowOff>123782</xdr:rowOff>
    </xdr:from>
    <xdr:to>
      <xdr:col>28</xdr:col>
      <xdr:colOff>285749</xdr:colOff>
      <xdr:row>10</xdr:row>
      <xdr:rowOff>190498</xdr:rowOff>
    </xdr:to>
    <xdr:sp macro="" textlink="">
      <xdr:nvSpPr>
        <xdr:cNvPr id="27" name="TextBox 26"/>
        <xdr:cNvSpPr txBox="1"/>
      </xdr:nvSpPr>
      <xdr:spPr>
        <a:xfrm>
          <a:off x="11127635680" y="4382818"/>
          <a:ext cx="6504214" cy="570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1" anchor="t">
          <a:noAutofit/>
        </a:bodyPr>
        <a:lstStyle/>
        <a:p>
          <a:pPr algn="ctr" rtl="1"/>
          <a:r>
            <a:rPr lang="fa-IR" sz="1600" b="1" u="none" baseline="0">
              <a:solidFill>
                <a:schemeClr val="bg1"/>
              </a:solidFill>
              <a:latin typeface="+mn-lt"/>
              <a:ea typeface="+mn-ea"/>
              <a:cs typeface="B Titr" pitchFamily="2" charset="-78"/>
            </a:rPr>
            <a:t>نسخه رایگان ( محاسبه سواری شخصی )</a:t>
          </a:r>
        </a:p>
      </xdr:txBody>
    </xdr:sp>
    <xdr:clientData/>
  </xdr:twoCellAnchor>
  <xdr:twoCellAnchor>
    <xdr:from>
      <xdr:col>27</xdr:col>
      <xdr:colOff>426521</xdr:colOff>
      <xdr:row>0</xdr:row>
      <xdr:rowOff>405255</xdr:rowOff>
    </xdr:from>
    <xdr:to>
      <xdr:col>35</xdr:col>
      <xdr:colOff>408709</xdr:colOff>
      <xdr:row>2</xdr:row>
      <xdr:rowOff>212882</xdr:rowOff>
    </xdr:to>
    <xdr:sp macro="" textlink="">
      <xdr:nvSpPr>
        <xdr:cNvPr id="29" name="TextBox 28"/>
        <xdr:cNvSpPr txBox="1"/>
      </xdr:nvSpPr>
      <xdr:spPr>
        <a:xfrm>
          <a:off x="11122750220" y="405255"/>
          <a:ext cx="5425045" cy="6240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endParaRPr lang="fa-IR" sz="25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bg1"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  <a:cs typeface="B Titr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258536</xdr:colOff>
      <xdr:row>1</xdr:row>
      <xdr:rowOff>149679</xdr:rowOff>
    </xdr:from>
    <xdr:to>
      <xdr:col>41</xdr:col>
      <xdr:colOff>261938</xdr:colOff>
      <xdr:row>16</xdr:row>
      <xdr:rowOff>285750</xdr:rowOff>
    </xdr:to>
    <xdr:sp macro="" textlink="">
      <xdr:nvSpPr>
        <xdr:cNvPr id="3" name="Rounded Rectangle 2"/>
        <xdr:cNvSpPr/>
      </xdr:nvSpPr>
      <xdr:spPr>
        <a:xfrm>
          <a:off x="9784961062" y="449036"/>
          <a:ext cx="8385402" cy="6667500"/>
        </a:xfrm>
        <a:prstGeom prst="roundRect">
          <a:avLst>
            <a:gd name="adj" fmla="val 5106"/>
          </a:avLst>
        </a:prstGeom>
        <a:noFill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33</xdr:col>
      <xdr:colOff>104862</xdr:colOff>
      <xdr:row>1</xdr:row>
      <xdr:rowOff>222877</xdr:rowOff>
    </xdr:from>
    <xdr:to>
      <xdr:col>38</xdr:col>
      <xdr:colOff>85572</xdr:colOff>
      <xdr:row>3</xdr:row>
      <xdr:rowOff>67127</xdr:rowOff>
    </xdr:to>
    <xdr:sp macro="" textlink="">
      <xdr:nvSpPr>
        <xdr:cNvPr id="4" name="TextBox 3"/>
        <xdr:cNvSpPr txBox="1"/>
      </xdr:nvSpPr>
      <xdr:spPr>
        <a:xfrm>
          <a:off x="9788729714" y="522234"/>
          <a:ext cx="4144496" cy="715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noAutofit/>
        </a:bodyPr>
        <a:lstStyle/>
        <a:p>
          <a:pPr algn="ctr" rtl="1"/>
          <a:r>
            <a:rPr lang="fa-IR" sz="27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نمایش</a:t>
          </a:r>
          <a:r>
            <a:rPr lang="fa-IR" sz="2700" b="1" cap="none" spc="50" baseline="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 حق بیمه محاسبه شده</a:t>
          </a:r>
          <a:endParaRPr lang="fa-IR" sz="27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  <a:cs typeface="B Titr" pitchFamily="2" charset="-78"/>
          </a:endParaRPr>
        </a:p>
      </xdr:txBody>
    </xdr:sp>
    <xdr:clientData/>
  </xdr:twoCellAnchor>
  <xdr:twoCellAnchor>
    <xdr:from>
      <xdr:col>25</xdr:col>
      <xdr:colOff>204107</xdr:colOff>
      <xdr:row>1</xdr:row>
      <xdr:rowOff>44149</xdr:rowOff>
    </xdr:from>
    <xdr:to>
      <xdr:col>31</xdr:col>
      <xdr:colOff>287450</xdr:colOff>
      <xdr:row>2</xdr:row>
      <xdr:rowOff>311921</xdr:rowOff>
    </xdr:to>
    <xdr:sp macro="" textlink="">
      <xdr:nvSpPr>
        <xdr:cNvPr id="6" name="TextBox 5"/>
        <xdr:cNvSpPr txBox="1"/>
      </xdr:nvSpPr>
      <xdr:spPr>
        <a:xfrm>
          <a:off x="9793712158" y="343506"/>
          <a:ext cx="3784485" cy="539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r>
            <a:rPr lang="fa-IR" sz="2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rgbClr val="0000FF"/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  <a:cs typeface="B Titr" pitchFamily="2" charset="-78"/>
            </a:rPr>
            <a:t>ورود اطلاعات بیمه نامه</a:t>
          </a:r>
        </a:p>
      </xdr:txBody>
    </xdr:sp>
    <xdr:clientData/>
  </xdr:twoCellAnchor>
  <xdr:twoCellAnchor editAs="oneCell">
    <xdr:from>
      <xdr:col>33</xdr:col>
      <xdr:colOff>496663</xdr:colOff>
      <xdr:row>3</xdr:row>
      <xdr:rowOff>144576</xdr:rowOff>
    </xdr:from>
    <xdr:to>
      <xdr:col>37</xdr:col>
      <xdr:colOff>169115</xdr:colOff>
      <xdr:row>5</xdr:row>
      <xdr:rowOff>54428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9190457" y="1314790"/>
          <a:ext cx="3291952" cy="780709"/>
        </a:xfrm>
        <a:prstGeom prst="rect">
          <a:avLst/>
        </a:prstGeom>
      </xdr:spPr>
    </xdr:pic>
    <xdr:clientData/>
  </xdr:twoCellAnchor>
  <xdr:twoCellAnchor>
    <xdr:from>
      <xdr:col>36</xdr:col>
      <xdr:colOff>607212</xdr:colOff>
      <xdr:row>5</xdr:row>
      <xdr:rowOff>340175</xdr:rowOff>
    </xdr:from>
    <xdr:to>
      <xdr:col>37</xdr:col>
      <xdr:colOff>501748</xdr:colOff>
      <xdr:row>7</xdr:row>
      <xdr:rowOff>22840</xdr:rowOff>
    </xdr:to>
    <xdr:sp macro="" textlink="">
      <xdr:nvSpPr>
        <xdr:cNvPr id="12" name="TextBox 11"/>
        <xdr:cNvSpPr txBox="1"/>
      </xdr:nvSpPr>
      <xdr:spPr>
        <a:xfrm>
          <a:off x="9788857824" y="5864675"/>
          <a:ext cx="833429" cy="5535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r>
            <a:rPr lang="fa-I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cs typeface="B Titr" pitchFamily="2" charset="-78"/>
            </a:rPr>
            <a:t>ریال</a:t>
          </a:r>
          <a:endParaRPr lang="fa-IR" sz="2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  <a:cs typeface="B Titr" pitchFamily="2" charset="-78"/>
          </a:endParaRPr>
        </a:p>
      </xdr:txBody>
    </xdr:sp>
    <xdr:clientData/>
  </xdr:twoCellAnchor>
  <xdr:twoCellAnchor>
    <xdr:from>
      <xdr:col>33</xdr:col>
      <xdr:colOff>188791</xdr:colOff>
      <xdr:row>5</xdr:row>
      <xdr:rowOff>338475</xdr:rowOff>
    </xdr:from>
    <xdr:to>
      <xdr:col>35</xdr:col>
      <xdr:colOff>285747</xdr:colOff>
      <xdr:row>6</xdr:row>
      <xdr:rowOff>429353</xdr:rowOff>
    </xdr:to>
    <xdr:sp macro="" textlink="">
      <xdr:nvSpPr>
        <xdr:cNvPr id="13" name="TextBox 12"/>
        <xdr:cNvSpPr txBox="1"/>
      </xdr:nvSpPr>
      <xdr:spPr>
        <a:xfrm>
          <a:off x="9791087682" y="2379546"/>
          <a:ext cx="1702599" cy="5263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ctr">
          <a:noAutofit/>
        </a:bodyPr>
        <a:lstStyle/>
        <a:p>
          <a:pPr algn="ctr" rtl="1"/>
          <a:r>
            <a:rPr lang="fa-I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cs typeface="B Titr" pitchFamily="2" charset="-78"/>
            </a:rPr>
            <a:t>مبلغ بیمه نامه :</a:t>
          </a:r>
        </a:p>
      </xdr:txBody>
    </xdr:sp>
    <xdr:clientData/>
  </xdr:twoCellAnchor>
  <xdr:oneCellAnchor>
    <xdr:from>
      <xdr:col>34</xdr:col>
      <xdr:colOff>176893</xdr:colOff>
      <xdr:row>14</xdr:row>
      <xdr:rowOff>307802</xdr:rowOff>
    </xdr:from>
    <xdr:ext cx="1452216" cy="425224"/>
    <xdr:sp macro="" textlink="">
      <xdr:nvSpPr>
        <xdr:cNvPr id="14" name="Rounded Rectangle 13">
          <a:hlinkClick xmlns:r="http://schemas.openxmlformats.org/officeDocument/2006/relationships" r:id="rId2"/>
        </xdr:cNvPr>
        <xdr:cNvSpPr/>
      </xdr:nvSpPr>
      <xdr:spPr>
        <a:xfrm>
          <a:off x="9790043677" y="6267731"/>
          <a:ext cx="1452216" cy="425224"/>
        </a:xfrm>
        <a:prstGeom prst="roundRect">
          <a:avLst>
            <a:gd name="adj" fmla="val 23126"/>
          </a:avLst>
        </a:prstGeom>
        <a:noFill/>
        <a:ln>
          <a:solidFill>
            <a:schemeClr val="accent5">
              <a:lumMod val="50000"/>
            </a:schemeClr>
          </a:solidFill>
        </a:ln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wrap="square" lIns="0" tIns="0" rIns="108000" bIns="36000" rtlCol="1" anchor="ctr">
          <a:noAutofit/>
        </a:bodyPr>
        <a:lstStyle/>
        <a:p>
          <a:pPr algn="ctr" rtl="1"/>
          <a:r>
            <a:rPr lang="fa-IR" sz="1600">
              <a:solidFill>
                <a:schemeClr val="accent5">
                  <a:lumMod val="50000"/>
                </a:schemeClr>
              </a:solidFill>
              <a:cs typeface="B Titr" pitchFamily="2" charset="-78"/>
            </a:rPr>
            <a:t>بازگشت</a:t>
          </a:r>
          <a:r>
            <a:rPr lang="en-US" sz="1600">
              <a:solidFill>
                <a:schemeClr val="accent5">
                  <a:lumMod val="50000"/>
                </a:schemeClr>
              </a:solidFill>
              <a:cs typeface="B Titr" pitchFamily="2" charset="-78"/>
            </a:rPr>
            <a:t>  </a:t>
          </a:r>
          <a:endParaRPr lang="fa-IR" sz="1600">
            <a:solidFill>
              <a:schemeClr val="accent5">
                <a:lumMod val="50000"/>
              </a:schemeClr>
            </a:solidFill>
            <a:cs typeface="B Titr" pitchFamily="2" charset="-78"/>
          </a:endParaRPr>
        </a:p>
      </xdr:txBody>
    </xdr:sp>
    <xdr:clientData/>
  </xdr:oneCellAnchor>
  <xdr:twoCellAnchor>
    <xdr:from>
      <xdr:col>33</xdr:col>
      <xdr:colOff>13608</xdr:colOff>
      <xdr:row>5</xdr:row>
      <xdr:rowOff>258536</xdr:rowOff>
    </xdr:from>
    <xdr:to>
      <xdr:col>37</xdr:col>
      <xdr:colOff>530680</xdr:colOff>
      <xdr:row>7</xdr:row>
      <xdr:rowOff>108858</xdr:rowOff>
    </xdr:to>
    <xdr:sp macro="" textlink="">
      <xdr:nvSpPr>
        <xdr:cNvPr id="16" name="Snip Diagonal Corner Rectangle 15"/>
        <xdr:cNvSpPr/>
      </xdr:nvSpPr>
      <xdr:spPr>
        <a:xfrm>
          <a:off x="9788828892" y="2299607"/>
          <a:ext cx="4136572" cy="721180"/>
        </a:xfrm>
        <a:prstGeom prst="snip2DiagRect">
          <a:avLst>
            <a:gd name="adj1" fmla="val 33776"/>
            <a:gd name="adj2" fmla="val 0"/>
          </a:avLst>
        </a:prstGeom>
        <a:noFill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GB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</xdr:row>
          <xdr:rowOff>47625</xdr:rowOff>
        </xdr:from>
        <xdr:to>
          <xdr:col>28</xdr:col>
          <xdr:colOff>361950</xdr:colOff>
          <xdr:row>9</xdr:row>
          <xdr:rowOff>9525</xdr:rowOff>
        </xdr:to>
        <xdr:sp macro="" textlink="">
          <xdr:nvSpPr>
            <xdr:cNvPr id="2053" name="Spinne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8</xdr:row>
          <xdr:rowOff>38100</xdr:rowOff>
        </xdr:from>
        <xdr:to>
          <xdr:col>30</xdr:col>
          <xdr:colOff>352425</xdr:colOff>
          <xdr:row>9</xdr:row>
          <xdr:rowOff>9525</xdr:rowOff>
        </xdr:to>
        <xdr:sp macro="" textlink="">
          <xdr:nvSpPr>
            <xdr:cNvPr id="2064" name="Spinner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</xdr:row>
          <xdr:rowOff>9525</xdr:rowOff>
        </xdr:from>
        <xdr:to>
          <xdr:col>28</xdr:col>
          <xdr:colOff>361950</xdr:colOff>
          <xdr:row>7</xdr:row>
          <xdr:rowOff>419100</xdr:rowOff>
        </xdr:to>
        <xdr:sp macro="" textlink="">
          <xdr:nvSpPr>
            <xdr:cNvPr id="2065" name="Spinner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7</xdr:row>
          <xdr:rowOff>9525</xdr:rowOff>
        </xdr:from>
        <xdr:to>
          <xdr:col>30</xdr:col>
          <xdr:colOff>361950</xdr:colOff>
          <xdr:row>7</xdr:row>
          <xdr:rowOff>419100</xdr:rowOff>
        </xdr:to>
        <xdr:sp macro="" textlink="">
          <xdr:nvSpPr>
            <xdr:cNvPr id="2066" name="Spinner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  <pageSetUpPr fitToPage="1"/>
  </sheetPr>
  <dimension ref="A1:K29"/>
  <sheetViews>
    <sheetView rightToLeft="1" topLeftCell="K2" zoomScale="70" zoomScaleNormal="70" workbookViewId="0">
      <selection activeCell="AI7" sqref="AI7"/>
    </sheetView>
  </sheetViews>
  <sheetFormatPr defaultColWidth="9" defaultRowHeight="32.25" customHeight="1" x14ac:dyDescent="0.2"/>
  <cols>
    <col min="1" max="1" width="8" style="77" hidden="1" customWidth="1"/>
    <col min="2" max="2" width="6.25" style="77" hidden="1" customWidth="1"/>
    <col min="3" max="3" width="43.125" style="77" hidden="1" customWidth="1"/>
    <col min="4" max="4" width="9.75" style="77" hidden="1" customWidth="1"/>
    <col min="5" max="7" width="11.375" style="77" hidden="1" customWidth="1"/>
    <col min="8" max="10" width="13" style="77" hidden="1" customWidth="1"/>
    <col min="11" max="11" width="4.375" style="77" customWidth="1"/>
    <col min="12" max="16384" width="9" style="77"/>
  </cols>
  <sheetData>
    <row r="1" spans="1:11" ht="32.25" customHeight="1" x14ac:dyDescent="0.2">
      <c r="A1" s="153" t="s">
        <v>58</v>
      </c>
      <c r="B1" s="153"/>
      <c r="C1" s="153"/>
      <c r="D1" s="154"/>
      <c r="E1" s="157" t="s">
        <v>131</v>
      </c>
      <c r="F1" s="157"/>
      <c r="G1" s="157"/>
      <c r="H1" s="157"/>
      <c r="I1" s="157"/>
      <c r="J1" s="157"/>
    </row>
    <row r="2" spans="1:11" ht="32.25" customHeight="1" x14ac:dyDescent="0.2">
      <c r="A2" s="158" t="s">
        <v>19</v>
      </c>
      <c r="B2" s="159" t="s">
        <v>0</v>
      </c>
      <c r="C2" s="160" t="s">
        <v>1</v>
      </c>
      <c r="D2" s="161" t="s">
        <v>2</v>
      </c>
      <c r="E2" s="78" t="s">
        <v>27</v>
      </c>
      <c r="F2" s="78" t="s">
        <v>29</v>
      </c>
      <c r="G2" s="78" t="s">
        <v>28</v>
      </c>
      <c r="H2" s="78" t="s">
        <v>59</v>
      </c>
      <c r="I2" s="162" t="s">
        <v>24</v>
      </c>
      <c r="J2" s="160" t="s">
        <v>25</v>
      </c>
    </row>
    <row r="3" spans="1:11" ht="32.25" customHeight="1" x14ac:dyDescent="0.2">
      <c r="A3" s="158"/>
      <c r="B3" s="159"/>
      <c r="C3" s="160"/>
      <c r="D3" s="161"/>
      <c r="E3" s="79" t="s">
        <v>30</v>
      </c>
      <c r="F3" s="79" t="s">
        <v>32</v>
      </c>
      <c r="G3" s="79" t="s">
        <v>31</v>
      </c>
      <c r="H3" s="79"/>
      <c r="I3" s="163"/>
      <c r="J3" s="160"/>
    </row>
    <row r="4" spans="1:11" ht="32.25" customHeight="1" x14ac:dyDescent="0.2">
      <c r="A4" s="158"/>
      <c r="B4" s="159"/>
      <c r="C4" s="160"/>
      <c r="D4" s="161"/>
      <c r="E4" s="80">
        <v>152</v>
      </c>
      <c r="F4" s="80">
        <v>15</v>
      </c>
      <c r="G4" s="80">
        <v>9036</v>
      </c>
      <c r="H4" s="80"/>
      <c r="I4" s="164"/>
      <c r="J4" s="160"/>
    </row>
    <row r="5" spans="1:11" ht="39.75" customHeight="1" x14ac:dyDescent="0.2">
      <c r="A5" s="81">
        <v>1</v>
      </c>
      <c r="B5" s="82"/>
      <c r="C5" s="83" t="s">
        <v>60</v>
      </c>
      <c r="D5" s="119">
        <f>(ROUNDUP(((E5*25%)/365)/100,0))*100</f>
        <v>1300</v>
      </c>
      <c r="E5" s="84">
        <v>1820000</v>
      </c>
      <c r="F5" s="84">
        <v>0</v>
      </c>
      <c r="G5" s="84">
        <v>550000</v>
      </c>
      <c r="H5" s="84">
        <f>(E5+F5+G5)*9%</f>
        <v>213300</v>
      </c>
      <c r="I5" s="84">
        <f t="shared" ref="I5:I13" si="0">SUM(E5:H5)</f>
        <v>2583300</v>
      </c>
      <c r="J5" s="118">
        <f>I5+(E5*25%)</f>
        <v>3038300</v>
      </c>
    </row>
    <row r="6" spans="1:11" ht="41.25" customHeight="1" x14ac:dyDescent="0.2">
      <c r="A6" s="81">
        <v>2</v>
      </c>
      <c r="B6" s="152" t="s">
        <v>61</v>
      </c>
      <c r="C6" s="85" t="s">
        <v>62</v>
      </c>
      <c r="D6" s="119">
        <f>(ROUNDUP((E6/365)/100,0))*100</f>
        <v>16500</v>
      </c>
      <c r="E6" s="84">
        <v>6000000</v>
      </c>
      <c r="F6" s="84">
        <v>0</v>
      </c>
      <c r="G6" s="84">
        <v>660000</v>
      </c>
      <c r="H6" s="84">
        <f t="shared" ref="H6:H29" si="1">(E6+F6+G6)*9%</f>
        <v>599400</v>
      </c>
      <c r="I6" s="84">
        <f t="shared" si="0"/>
        <v>7259400</v>
      </c>
      <c r="J6" s="84">
        <f t="shared" ref="J6:J13" si="2">I6+E6</f>
        <v>13259400</v>
      </c>
    </row>
    <row r="7" spans="1:11" ht="41.25" customHeight="1" x14ac:dyDescent="0.2">
      <c r="A7" s="81">
        <v>3</v>
      </c>
      <c r="B7" s="152"/>
      <c r="C7" s="85" t="s">
        <v>63</v>
      </c>
      <c r="D7" s="119">
        <f>(ROUNDUP((E7/365)/100,0))*100</f>
        <v>19500</v>
      </c>
      <c r="E7" s="84">
        <v>7100000</v>
      </c>
      <c r="F7" s="84">
        <v>0</v>
      </c>
      <c r="G7" s="84">
        <v>660000</v>
      </c>
      <c r="H7" s="84">
        <f t="shared" si="1"/>
        <v>698400</v>
      </c>
      <c r="I7" s="84">
        <f t="shared" si="0"/>
        <v>8458400</v>
      </c>
      <c r="J7" s="84">
        <f t="shared" si="2"/>
        <v>15558400</v>
      </c>
    </row>
    <row r="8" spans="1:11" ht="41.25" customHeight="1" x14ac:dyDescent="0.2">
      <c r="A8" s="81">
        <v>4</v>
      </c>
      <c r="B8" s="152"/>
      <c r="C8" s="85" t="s">
        <v>64</v>
      </c>
      <c r="D8" s="119">
        <f t="shared" ref="D8:D29" si="3">(ROUNDUP((E8/365)/100,0))*100</f>
        <v>22900</v>
      </c>
      <c r="E8" s="84">
        <v>8350000</v>
      </c>
      <c r="F8" s="84">
        <v>0</v>
      </c>
      <c r="G8" s="84">
        <v>660000</v>
      </c>
      <c r="H8" s="84">
        <f t="shared" si="1"/>
        <v>810900</v>
      </c>
      <c r="I8" s="84">
        <f t="shared" si="0"/>
        <v>9820900</v>
      </c>
      <c r="J8" s="84">
        <f t="shared" si="2"/>
        <v>18170900</v>
      </c>
      <c r="K8" s="86"/>
    </row>
    <row r="9" spans="1:11" ht="41.25" customHeight="1" x14ac:dyDescent="0.2">
      <c r="A9" s="81">
        <v>5</v>
      </c>
      <c r="B9" s="152"/>
      <c r="C9" s="85" t="s">
        <v>65</v>
      </c>
      <c r="D9" s="119">
        <f t="shared" si="3"/>
        <v>25700</v>
      </c>
      <c r="E9" s="84">
        <v>9350000</v>
      </c>
      <c r="F9" s="84">
        <v>0</v>
      </c>
      <c r="G9" s="84">
        <v>660000</v>
      </c>
      <c r="H9" s="84">
        <f t="shared" si="1"/>
        <v>900900</v>
      </c>
      <c r="I9" s="84">
        <f t="shared" si="0"/>
        <v>10910900</v>
      </c>
      <c r="J9" s="84">
        <f t="shared" si="2"/>
        <v>20260900</v>
      </c>
    </row>
    <row r="10" spans="1:11" ht="39.75" customHeight="1" x14ac:dyDescent="0.2">
      <c r="A10" s="81">
        <v>6</v>
      </c>
      <c r="B10" s="82" t="s">
        <v>66</v>
      </c>
      <c r="C10" s="155" t="s">
        <v>5</v>
      </c>
      <c r="D10" s="119">
        <f t="shared" si="3"/>
        <v>23400</v>
      </c>
      <c r="E10" s="117">
        <f>(E7*20%)+E7</f>
        <v>8520000</v>
      </c>
      <c r="F10" s="118">
        <v>0</v>
      </c>
      <c r="G10" s="117">
        <f>(G6*20%)+G6</f>
        <v>792000</v>
      </c>
      <c r="H10" s="84">
        <f t="shared" si="1"/>
        <v>838080</v>
      </c>
      <c r="I10" s="84">
        <f t="shared" si="0"/>
        <v>10150080</v>
      </c>
      <c r="J10" s="84">
        <f t="shared" si="2"/>
        <v>18670080</v>
      </c>
    </row>
    <row r="11" spans="1:11" ht="39.75" customHeight="1" x14ac:dyDescent="0.2">
      <c r="A11" s="81">
        <v>7</v>
      </c>
      <c r="B11" s="82" t="s">
        <v>67</v>
      </c>
      <c r="C11" s="156"/>
      <c r="D11" s="119">
        <f t="shared" si="3"/>
        <v>26300</v>
      </c>
      <c r="E11" s="117">
        <f>(E7*35%)+E7</f>
        <v>9585000</v>
      </c>
      <c r="F11" s="118">
        <v>0</v>
      </c>
      <c r="G11" s="117">
        <f>(G6*35%)+G6</f>
        <v>891000</v>
      </c>
      <c r="H11" s="84">
        <f t="shared" si="1"/>
        <v>942840</v>
      </c>
      <c r="I11" s="84">
        <f t="shared" si="0"/>
        <v>11418840</v>
      </c>
      <c r="J11" s="84">
        <f t="shared" si="2"/>
        <v>21003840</v>
      </c>
    </row>
    <row r="12" spans="1:11" ht="39.75" customHeight="1" x14ac:dyDescent="0.2">
      <c r="A12" s="81">
        <v>8</v>
      </c>
      <c r="B12" s="82" t="s">
        <v>66</v>
      </c>
      <c r="C12" s="155" t="s">
        <v>6</v>
      </c>
      <c r="D12" s="119">
        <f t="shared" si="3"/>
        <v>27500</v>
      </c>
      <c r="E12" s="117">
        <f>(E8*20%)+E8</f>
        <v>10020000</v>
      </c>
      <c r="F12" s="118">
        <v>0</v>
      </c>
      <c r="G12" s="117">
        <f>(G6*20%)+G6</f>
        <v>792000</v>
      </c>
      <c r="H12" s="84">
        <f t="shared" si="1"/>
        <v>973080</v>
      </c>
      <c r="I12" s="84">
        <f t="shared" si="0"/>
        <v>11785080</v>
      </c>
      <c r="J12" s="84">
        <f t="shared" si="2"/>
        <v>21805080</v>
      </c>
    </row>
    <row r="13" spans="1:11" ht="39.75" customHeight="1" x14ac:dyDescent="0.2">
      <c r="A13" s="81">
        <v>9</v>
      </c>
      <c r="B13" s="82" t="s">
        <v>67</v>
      </c>
      <c r="C13" s="156"/>
      <c r="D13" s="119">
        <f t="shared" si="3"/>
        <v>30900</v>
      </c>
      <c r="E13" s="117">
        <f>(E8*35%)+E8</f>
        <v>11272500</v>
      </c>
      <c r="F13" s="118">
        <v>0</v>
      </c>
      <c r="G13" s="117">
        <f>(G6*35%)+G6</f>
        <v>891000</v>
      </c>
      <c r="H13" s="84">
        <f t="shared" si="1"/>
        <v>1094715</v>
      </c>
      <c r="I13" s="84">
        <f t="shared" si="0"/>
        <v>13258215</v>
      </c>
      <c r="J13" s="84">
        <f t="shared" si="2"/>
        <v>24530715</v>
      </c>
    </row>
    <row r="14" spans="1:11" ht="39.75" customHeight="1" x14ac:dyDescent="0.2">
      <c r="A14" s="81">
        <v>10</v>
      </c>
      <c r="B14" s="152" t="s">
        <v>68</v>
      </c>
      <c r="C14" s="85" t="s">
        <v>69</v>
      </c>
      <c r="D14" s="119">
        <f t="shared" si="3"/>
        <v>47200</v>
      </c>
      <c r="E14" s="84">
        <v>17200000</v>
      </c>
      <c r="F14" s="84">
        <v>0</v>
      </c>
      <c r="G14" s="84">
        <v>660000</v>
      </c>
      <c r="H14" s="84">
        <f t="shared" si="1"/>
        <v>1607400</v>
      </c>
      <c r="I14" s="84">
        <f t="shared" ref="I14:I21" si="4">SUM(E14:H14)</f>
        <v>19467400</v>
      </c>
      <c r="J14" s="84">
        <f t="shared" ref="J14:J21" si="5">I14+E14</f>
        <v>36667400</v>
      </c>
    </row>
    <row r="15" spans="1:11" ht="39.75" customHeight="1" x14ac:dyDescent="0.2">
      <c r="A15" s="81">
        <v>11</v>
      </c>
      <c r="B15" s="152"/>
      <c r="C15" s="85" t="s">
        <v>70</v>
      </c>
      <c r="D15" s="119">
        <f t="shared" si="3"/>
        <v>48500</v>
      </c>
      <c r="E15" s="84">
        <v>17700000</v>
      </c>
      <c r="F15" s="84">
        <v>0</v>
      </c>
      <c r="G15" s="84">
        <v>660000</v>
      </c>
      <c r="H15" s="84">
        <f t="shared" si="1"/>
        <v>1652400</v>
      </c>
      <c r="I15" s="84">
        <f t="shared" si="4"/>
        <v>20012400</v>
      </c>
      <c r="J15" s="84">
        <f t="shared" si="5"/>
        <v>37712400</v>
      </c>
    </row>
    <row r="16" spans="1:11" ht="39.75" customHeight="1" x14ac:dyDescent="0.2">
      <c r="A16" s="81">
        <v>12</v>
      </c>
      <c r="B16" s="152"/>
      <c r="C16" s="85" t="s">
        <v>71</v>
      </c>
      <c r="D16" s="119">
        <f t="shared" si="3"/>
        <v>49100</v>
      </c>
      <c r="E16" s="84">
        <v>17900000</v>
      </c>
      <c r="F16" s="84">
        <v>0</v>
      </c>
      <c r="G16" s="84">
        <v>660000</v>
      </c>
      <c r="H16" s="84">
        <f t="shared" si="1"/>
        <v>1670400</v>
      </c>
      <c r="I16" s="84">
        <f t="shared" si="4"/>
        <v>20230400</v>
      </c>
      <c r="J16" s="84">
        <f t="shared" si="5"/>
        <v>38130400</v>
      </c>
    </row>
    <row r="17" spans="1:10" ht="39.75" customHeight="1" x14ac:dyDescent="0.2">
      <c r="A17" s="81">
        <v>13</v>
      </c>
      <c r="B17" s="152"/>
      <c r="C17" s="85" t="s">
        <v>72</v>
      </c>
      <c r="D17" s="119">
        <f t="shared" si="3"/>
        <v>60300</v>
      </c>
      <c r="E17" s="84">
        <v>22000000</v>
      </c>
      <c r="F17" s="84">
        <v>0</v>
      </c>
      <c r="G17" s="84">
        <v>2200000</v>
      </c>
      <c r="H17" s="84">
        <f t="shared" si="1"/>
        <v>2178000</v>
      </c>
      <c r="I17" s="84">
        <f t="shared" si="4"/>
        <v>26378000</v>
      </c>
      <c r="J17" s="84">
        <f t="shared" si="5"/>
        <v>48378000</v>
      </c>
    </row>
    <row r="18" spans="1:10" ht="39.75" customHeight="1" x14ac:dyDescent="0.2">
      <c r="A18" s="81">
        <v>14</v>
      </c>
      <c r="B18" s="152"/>
      <c r="C18" s="85" t="s">
        <v>73</v>
      </c>
      <c r="D18" s="119">
        <f t="shared" si="3"/>
        <v>62700</v>
      </c>
      <c r="E18" s="84">
        <v>22850000</v>
      </c>
      <c r="F18" s="84">
        <v>0</v>
      </c>
      <c r="G18" s="84">
        <v>2200000</v>
      </c>
      <c r="H18" s="84">
        <f t="shared" si="1"/>
        <v>2254500</v>
      </c>
      <c r="I18" s="84">
        <f t="shared" si="4"/>
        <v>27304500</v>
      </c>
      <c r="J18" s="84">
        <f t="shared" si="5"/>
        <v>50154500</v>
      </c>
    </row>
    <row r="19" spans="1:10" ht="39.75" customHeight="1" x14ac:dyDescent="0.2">
      <c r="A19" s="81">
        <v>15</v>
      </c>
      <c r="B19" s="152"/>
      <c r="C19" s="85" t="s">
        <v>74</v>
      </c>
      <c r="D19" s="119">
        <f t="shared" si="3"/>
        <v>92400</v>
      </c>
      <c r="E19" s="84">
        <v>33700000</v>
      </c>
      <c r="F19" s="84">
        <v>0</v>
      </c>
      <c r="G19" s="84">
        <v>2200000</v>
      </c>
      <c r="H19" s="84">
        <f t="shared" si="1"/>
        <v>3231000</v>
      </c>
      <c r="I19" s="84">
        <f t="shared" si="4"/>
        <v>39131000</v>
      </c>
      <c r="J19" s="84">
        <f t="shared" si="5"/>
        <v>72831000</v>
      </c>
    </row>
    <row r="20" spans="1:10" ht="39.75" customHeight="1" x14ac:dyDescent="0.2">
      <c r="A20" s="81">
        <v>16</v>
      </c>
      <c r="B20" s="152"/>
      <c r="C20" s="85" t="s">
        <v>75</v>
      </c>
      <c r="D20" s="119">
        <f t="shared" si="3"/>
        <v>116200</v>
      </c>
      <c r="E20" s="84">
        <v>42400000</v>
      </c>
      <c r="F20" s="84">
        <v>0</v>
      </c>
      <c r="G20" s="84">
        <v>2200000</v>
      </c>
      <c r="H20" s="84">
        <f t="shared" si="1"/>
        <v>4014000</v>
      </c>
      <c r="I20" s="84">
        <f t="shared" si="4"/>
        <v>48614000</v>
      </c>
      <c r="J20" s="84">
        <f t="shared" si="5"/>
        <v>91014000</v>
      </c>
    </row>
    <row r="21" spans="1:10" ht="39.75" customHeight="1" x14ac:dyDescent="0.2">
      <c r="A21" s="81">
        <v>17</v>
      </c>
      <c r="B21" s="152"/>
      <c r="C21" s="85" t="s">
        <v>76</v>
      </c>
      <c r="D21" s="119">
        <f t="shared" si="3"/>
        <v>123300</v>
      </c>
      <c r="E21" s="84">
        <v>45000000</v>
      </c>
      <c r="F21" s="84">
        <v>0</v>
      </c>
      <c r="G21" s="84">
        <v>2200000</v>
      </c>
      <c r="H21" s="84">
        <f t="shared" si="1"/>
        <v>4248000</v>
      </c>
      <c r="I21" s="84">
        <f t="shared" si="4"/>
        <v>51448000</v>
      </c>
      <c r="J21" s="84">
        <f t="shared" si="5"/>
        <v>96448000</v>
      </c>
    </row>
    <row r="22" spans="1:10" ht="39.75" customHeight="1" x14ac:dyDescent="0.2">
      <c r="A22" s="81">
        <v>18</v>
      </c>
      <c r="B22" s="152" t="s">
        <v>7</v>
      </c>
      <c r="C22" s="85" t="s">
        <v>5</v>
      </c>
      <c r="D22" s="119">
        <f t="shared" si="3"/>
        <v>22400</v>
      </c>
      <c r="E22" s="117">
        <f>(E7*15%)+E7</f>
        <v>8165000</v>
      </c>
      <c r="F22" s="118">
        <v>0</v>
      </c>
      <c r="G22" s="117">
        <f>(G7*15%)+G7</f>
        <v>759000</v>
      </c>
      <c r="H22" s="84">
        <f t="shared" si="1"/>
        <v>803160</v>
      </c>
      <c r="I22" s="84">
        <f>SUM(E22:H22)</f>
        <v>9727160</v>
      </c>
      <c r="J22" s="84">
        <f>I22+E22</f>
        <v>17892160</v>
      </c>
    </row>
    <row r="23" spans="1:10" ht="39.75" customHeight="1" x14ac:dyDescent="0.2">
      <c r="A23" s="81">
        <v>19</v>
      </c>
      <c r="B23" s="152"/>
      <c r="C23" s="85" t="s">
        <v>6</v>
      </c>
      <c r="D23" s="119">
        <f t="shared" si="3"/>
        <v>26400</v>
      </c>
      <c r="E23" s="117">
        <f>(E8*15%)+E8</f>
        <v>9602500</v>
      </c>
      <c r="F23" s="118">
        <v>0</v>
      </c>
      <c r="G23" s="117">
        <f>(G8*15%)+G8</f>
        <v>759000</v>
      </c>
      <c r="H23" s="84">
        <f t="shared" si="1"/>
        <v>932535</v>
      </c>
      <c r="I23" s="84">
        <f>SUM(E23:H23)</f>
        <v>11294035</v>
      </c>
      <c r="J23" s="84">
        <f>I23+E23</f>
        <v>20896535</v>
      </c>
    </row>
    <row r="24" spans="1:10" ht="39.75" customHeight="1" x14ac:dyDescent="0.2">
      <c r="A24" s="81">
        <v>20</v>
      </c>
      <c r="B24" s="152" t="s">
        <v>8</v>
      </c>
      <c r="C24" s="85" t="s">
        <v>9</v>
      </c>
      <c r="D24" s="119">
        <f t="shared" si="3"/>
        <v>20200</v>
      </c>
      <c r="E24" s="84">
        <v>7350000</v>
      </c>
      <c r="F24" s="84">
        <v>0</v>
      </c>
      <c r="G24" s="84">
        <v>2200000</v>
      </c>
      <c r="H24" s="84">
        <f t="shared" si="1"/>
        <v>859500</v>
      </c>
      <c r="I24" s="84">
        <f t="shared" ref="I24:I29" si="6">SUM(E24:H24)</f>
        <v>10409500</v>
      </c>
      <c r="J24" s="84">
        <f t="shared" ref="J24:J29" si="7">I24+E24</f>
        <v>17759500</v>
      </c>
    </row>
    <row r="25" spans="1:10" ht="39.75" customHeight="1" x14ac:dyDescent="0.2">
      <c r="A25" s="81">
        <v>21</v>
      </c>
      <c r="B25" s="152"/>
      <c r="C25" s="85" t="s">
        <v>10</v>
      </c>
      <c r="D25" s="119">
        <f t="shared" si="3"/>
        <v>24300</v>
      </c>
      <c r="E25" s="84">
        <v>8850000</v>
      </c>
      <c r="F25" s="84">
        <v>0</v>
      </c>
      <c r="G25" s="84">
        <v>2200000</v>
      </c>
      <c r="H25" s="84">
        <f t="shared" si="1"/>
        <v>994500</v>
      </c>
      <c r="I25" s="84">
        <f t="shared" si="6"/>
        <v>12044500</v>
      </c>
      <c r="J25" s="84">
        <f t="shared" si="7"/>
        <v>20894500</v>
      </c>
    </row>
    <row r="26" spans="1:10" ht="39.75" customHeight="1" x14ac:dyDescent="0.2">
      <c r="A26" s="81">
        <v>22</v>
      </c>
      <c r="B26" s="152"/>
      <c r="C26" s="85" t="s">
        <v>11</v>
      </c>
      <c r="D26" s="119">
        <f t="shared" si="3"/>
        <v>30700</v>
      </c>
      <c r="E26" s="84">
        <v>11200000</v>
      </c>
      <c r="F26" s="84">
        <v>0</v>
      </c>
      <c r="G26" s="84">
        <v>2200000</v>
      </c>
      <c r="H26" s="84">
        <f t="shared" si="1"/>
        <v>1206000</v>
      </c>
      <c r="I26" s="84">
        <f t="shared" si="6"/>
        <v>14606000</v>
      </c>
      <c r="J26" s="84">
        <f t="shared" si="7"/>
        <v>25806000</v>
      </c>
    </row>
    <row r="27" spans="1:10" ht="39.75" customHeight="1" x14ac:dyDescent="0.2">
      <c r="A27" s="81">
        <v>23</v>
      </c>
      <c r="B27" s="152"/>
      <c r="C27" s="85" t="s">
        <v>12</v>
      </c>
      <c r="D27" s="119">
        <f t="shared" si="3"/>
        <v>39400</v>
      </c>
      <c r="E27" s="84">
        <v>14350000</v>
      </c>
      <c r="F27" s="84">
        <v>0</v>
      </c>
      <c r="G27" s="84">
        <v>2200000</v>
      </c>
      <c r="H27" s="84">
        <f t="shared" si="1"/>
        <v>1489500</v>
      </c>
      <c r="I27" s="84">
        <f t="shared" si="6"/>
        <v>18039500</v>
      </c>
      <c r="J27" s="84">
        <f t="shared" si="7"/>
        <v>32389500</v>
      </c>
    </row>
    <row r="28" spans="1:10" ht="39.75" customHeight="1" x14ac:dyDescent="0.2">
      <c r="A28" s="81">
        <v>24</v>
      </c>
      <c r="B28" s="152"/>
      <c r="C28" s="85" t="s">
        <v>13</v>
      </c>
      <c r="D28" s="119">
        <f t="shared" si="3"/>
        <v>45800</v>
      </c>
      <c r="E28" s="84">
        <v>16700000</v>
      </c>
      <c r="F28" s="84">
        <v>0</v>
      </c>
      <c r="G28" s="84">
        <v>2200000</v>
      </c>
      <c r="H28" s="84">
        <f t="shared" si="1"/>
        <v>1701000</v>
      </c>
      <c r="I28" s="84">
        <f t="shared" si="6"/>
        <v>20601000</v>
      </c>
      <c r="J28" s="84">
        <f t="shared" si="7"/>
        <v>37301000</v>
      </c>
    </row>
    <row r="29" spans="1:10" ht="39.75" customHeight="1" x14ac:dyDescent="0.2">
      <c r="A29" s="81">
        <v>25</v>
      </c>
      <c r="B29" s="152"/>
      <c r="C29" s="85" t="s">
        <v>77</v>
      </c>
      <c r="D29" s="119">
        <f t="shared" si="3"/>
        <v>48500</v>
      </c>
      <c r="E29" s="84">
        <v>17700000</v>
      </c>
      <c r="F29" s="84">
        <v>0</v>
      </c>
      <c r="G29" s="84">
        <v>2200000</v>
      </c>
      <c r="H29" s="84">
        <f t="shared" si="1"/>
        <v>1791000</v>
      </c>
      <c r="I29" s="84">
        <f t="shared" si="6"/>
        <v>21691000</v>
      </c>
      <c r="J29" s="84">
        <f t="shared" si="7"/>
        <v>39391000</v>
      </c>
    </row>
  </sheetData>
  <sheetProtection password="8DA3" sheet="1" objects="1" scenarios="1"/>
  <mergeCells count="14">
    <mergeCell ref="E1:J1"/>
    <mergeCell ref="A2:A4"/>
    <mergeCell ref="B2:B4"/>
    <mergeCell ref="C2:C4"/>
    <mergeCell ref="D2:D4"/>
    <mergeCell ref="I2:I4"/>
    <mergeCell ref="J2:J4"/>
    <mergeCell ref="B22:B23"/>
    <mergeCell ref="B24:B29"/>
    <mergeCell ref="A1:D1"/>
    <mergeCell ref="B6:B9"/>
    <mergeCell ref="C10:C11"/>
    <mergeCell ref="C12:C13"/>
    <mergeCell ref="B14:B21"/>
  </mergeCells>
  <printOptions horizontalCentered="1" verticalCentered="1"/>
  <pageMargins left="0.19685039370078741" right="0.19685039370078741" top="0" bottom="0" header="0" footer="0"/>
  <pageSetup paperSize="8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O43"/>
  <sheetViews>
    <sheetView rightToLeft="1" tabSelected="1" topLeftCell="Y1" zoomScale="70" zoomScaleNormal="70" workbookViewId="0">
      <selection activeCell="AE10" sqref="AE10"/>
    </sheetView>
  </sheetViews>
  <sheetFormatPr defaultColWidth="9" defaultRowHeight="28.5" customHeight="1" x14ac:dyDescent="0.2"/>
  <cols>
    <col min="1" max="1" width="5.125" style="19" hidden="1" customWidth="1"/>
    <col min="2" max="2" width="9" style="19" hidden="1" customWidth="1"/>
    <col min="3" max="3" width="20.375" style="19" hidden="1" customWidth="1"/>
    <col min="4" max="9" width="13.125" style="19" hidden="1" customWidth="1"/>
    <col min="10" max="12" width="14.125" style="19" hidden="1" customWidth="1"/>
    <col min="13" max="13" width="3" style="19" hidden="1" customWidth="1"/>
    <col min="14" max="15" width="24.375" style="19" hidden="1" customWidth="1"/>
    <col min="16" max="19" width="14.125" style="19" hidden="1" customWidth="1"/>
    <col min="20" max="20" width="3" style="19" hidden="1" customWidth="1"/>
    <col min="21" max="21" width="36.625" style="19" hidden="1" customWidth="1"/>
    <col min="22" max="22" width="9.75" style="19" hidden="1" customWidth="1"/>
    <col min="23" max="23" width="19" style="19" hidden="1" customWidth="1"/>
    <col min="24" max="24" width="23.25" style="19" hidden="1" customWidth="1"/>
    <col min="25" max="25" width="6.625" style="19" customWidth="1"/>
    <col min="26" max="26" width="5.75" style="19" customWidth="1"/>
    <col min="27" max="27" width="27.125" style="19" customWidth="1"/>
    <col min="28" max="28" width="10.75" style="19" customWidth="1"/>
    <col min="29" max="29" width="8.25" style="19" customWidth="1"/>
    <col min="30" max="30" width="10.75" style="19" customWidth="1"/>
    <col min="31" max="31" width="8.25" style="132" customWidth="1"/>
    <col min="32" max="32" width="1" style="19" customWidth="1"/>
    <col min="33" max="33" width="9.25" style="19" customWidth="1"/>
    <col min="34" max="34" width="19.625" style="15" customWidth="1"/>
    <col min="35" max="35" width="4.625" style="19" customWidth="1"/>
    <col min="36" max="36" width="16.125" style="19" customWidth="1"/>
    <col min="37" max="37" width="14.125" style="19" customWidth="1"/>
    <col min="38" max="38" width="8.125" style="19" customWidth="1"/>
    <col min="39" max="39" width="6.625" style="19" customWidth="1"/>
    <col min="40" max="40" width="29.375" style="19" customWidth="1"/>
    <col min="41" max="41" width="17.875" style="19" customWidth="1"/>
    <col min="42" max="42" width="6.625" style="19" customWidth="1"/>
    <col min="43" max="16384" width="9" style="19"/>
  </cols>
  <sheetData>
    <row r="1" spans="2:41" ht="24" customHeight="1" thickBot="1" x14ac:dyDescent="0.25">
      <c r="Y1" s="208"/>
      <c r="Z1" s="208"/>
      <c r="AA1" s="208"/>
      <c r="AB1" s="208"/>
      <c r="AC1" s="208"/>
      <c r="AD1" s="208"/>
      <c r="AE1" s="208"/>
      <c r="AF1" s="208"/>
    </row>
    <row r="2" spans="2:41" ht="34.5" customHeight="1" x14ac:dyDescent="0.2">
      <c r="B2" s="17"/>
      <c r="C2" s="4"/>
      <c r="D2" s="4"/>
      <c r="E2" s="4"/>
      <c r="F2" s="5"/>
      <c r="G2" s="11"/>
      <c r="H2" s="175" t="s">
        <v>34</v>
      </c>
      <c r="I2" s="176"/>
      <c r="J2" s="170" t="s">
        <v>43</v>
      </c>
      <c r="K2" s="209"/>
      <c r="L2" s="171"/>
      <c r="N2" s="106" t="s">
        <v>119</v>
      </c>
      <c r="O2" s="107" t="s">
        <v>24</v>
      </c>
      <c r="P2" s="113" t="s">
        <v>120</v>
      </c>
      <c r="Q2" s="107" t="s">
        <v>95</v>
      </c>
      <c r="R2" s="107" t="s">
        <v>3</v>
      </c>
      <c r="S2" s="53" t="s">
        <v>116</v>
      </c>
      <c r="T2" s="36"/>
      <c r="U2" s="210" t="s">
        <v>35</v>
      </c>
      <c r="V2" s="211"/>
      <c r="W2" s="211"/>
      <c r="X2" s="87" t="s">
        <v>102</v>
      </c>
      <c r="Z2" s="93"/>
      <c r="AA2" s="94"/>
      <c r="AB2" s="94"/>
      <c r="AC2" s="94"/>
      <c r="AD2" s="94"/>
      <c r="AE2" s="94"/>
      <c r="AF2" s="95"/>
    </row>
    <row r="3" spans="2:41" ht="34.5" customHeight="1" x14ac:dyDescent="0.2">
      <c r="B3" s="18"/>
      <c r="C3" s="16"/>
      <c r="D3" s="16"/>
      <c r="E3" s="16"/>
      <c r="F3" s="6"/>
      <c r="G3" s="11"/>
      <c r="H3" s="104" t="s">
        <v>26</v>
      </c>
      <c r="I3" s="1" t="s">
        <v>33</v>
      </c>
      <c r="J3" s="180" t="s">
        <v>26</v>
      </c>
      <c r="K3" s="16" t="s">
        <v>86</v>
      </c>
      <c r="L3" s="1" t="s">
        <v>33</v>
      </c>
      <c r="M3" s="11"/>
      <c r="N3" s="18" t="s">
        <v>40</v>
      </c>
      <c r="O3" s="35">
        <f>VLOOKUP(AC15,C23:J28,3,0)</f>
        <v>7100000</v>
      </c>
      <c r="P3" s="35">
        <f>IF(AC15&lt;&gt;"",IF(AC4=K22,O3,(O3*L16%)),0)</f>
        <v>7100000</v>
      </c>
      <c r="Q3" s="35">
        <f>IF(AC15&lt;&gt;"",IF(AC4=K22,O3*L4%,(O3*L4%)*L16%),0)</f>
        <v>0</v>
      </c>
      <c r="R3" s="35">
        <f>IF(AC11=J6,(P3+Q3)*L12%,0)</f>
        <v>0</v>
      </c>
      <c r="S3" s="56">
        <f>(P3+Q3-R3)*Q14%</f>
        <v>0</v>
      </c>
      <c r="T3" s="35"/>
      <c r="U3" s="20" t="s">
        <v>15</v>
      </c>
      <c r="V3" s="22" t="s">
        <v>19</v>
      </c>
      <c r="W3" s="22" t="s">
        <v>0</v>
      </c>
      <c r="X3" s="21"/>
      <c r="Z3" s="96"/>
      <c r="AA3" s="92"/>
      <c r="AB3" s="92"/>
      <c r="AC3" s="92"/>
      <c r="AD3" s="92"/>
      <c r="AE3" s="133"/>
      <c r="AF3" s="97"/>
      <c r="AN3" s="190" t="s">
        <v>42</v>
      </c>
      <c r="AO3" s="191"/>
    </row>
    <row r="4" spans="2:41" ht="34.5" customHeight="1" thickBot="1" x14ac:dyDescent="0.25">
      <c r="B4" s="7"/>
      <c r="C4" s="13"/>
      <c r="D4" s="13"/>
      <c r="E4" s="13"/>
      <c r="F4" s="8"/>
      <c r="G4" s="11"/>
      <c r="H4" s="104">
        <v>16</v>
      </c>
      <c r="I4" s="1">
        <v>2</v>
      </c>
      <c r="J4" s="181"/>
      <c r="K4" s="2">
        <f>AB7-AC16</f>
        <v>4</v>
      </c>
      <c r="L4" s="3">
        <f>IF(K4&gt;15,VLOOKUP(K4,H4:I8,2),0)</f>
        <v>0</v>
      </c>
      <c r="M4" s="11"/>
      <c r="N4" s="18" t="s">
        <v>41</v>
      </c>
      <c r="O4" s="35">
        <f>VLOOKUP(AC15,C23:J28,5,0)</f>
        <v>660000</v>
      </c>
      <c r="P4" s="35">
        <f>IF(AC15&lt;&gt;"",IF(AC4=K22,O4,(O4*L16%)),0)</f>
        <v>660000</v>
      </c>
      <c r="Q4" s="35"/>
      <c r="R4" s="35">
        <f>IF(AC11=J6,(P4+Q4)*L12%,0)</f>
        <v>0</v>
      </c>
      <c r="S4" s="56">
        <f>(P4+Q4-R4)*Q14%</f>
        <v>0</v>
      </c>
      <c r="T4" s="35"/>
      <c r="U4" s="60" t="s">
        <v>62</v>
      </c>
      <c r="V4" s="61">
        <v>2</v>
      </c>
      <c r="W4" s="23" t="s">
        <v>4</v>
      </c>
      <c r="X4" s="25" t="s">
        <v>103</v>
      </c>
      <c r="Z4" s="96"/>
      <c r="AA4" s="214" t="s">
        <v>122</v>
      </c>
      <c r="AB4" s="215" t="s">
        <v>113</v>
      </c>
      <c r="AC4" s="201" t="s">
        <v>121</v>
      </c>
      <c r="AD4" s="202"/>
      <c r="AE4" s="144"/>
      <c r="AF4" s="130"/>
      <c r="AH4" s="141"/>
      <c r="AI4" s="11"/>
      <c r="AJ4" s="11"/>
      <c r="AK4" s="11"/>
      <c r="AL4" s="11"/>
      <c r="AN4" s="120" t="s">
        <v>129</v>
      </c>
      <c r="AO4" s="121">
        <f>P3</f>
        <v>7100000</v>
      </c>
    </row>
    <row r="5" spans="2:41" ht="34.5" customHeight="1" thickBot="1" x14ac:dyDescent="0.25">
      <c r="H5" s="104">
        <v>17</v>
      </c>
      <c r="I5" s="1">
        <v>4</v>
      </c>
      <c r="J5" s="43" t="s">
        <v>87</v>
      </c>
      <c r="K5" s="42" t="s">
        <v>91</v>
      </c>
      <c r="L5" s="49">
        <f>(P6+Q6-R6-S6)*3%</f>
        <v>232800</v>
      </c>
      <c r="N5" s="18" t="s">
        <v>50</v>
      </c>
      <c r="O5" s="35">
        <f>VLOOKUP(AC15,C23:J28,4,0)</f>
        <v>0</v>
      </c>
      <c r="P5" s="35">
        <f>IF(AC15&lt;&gt;"",IF(AC4=K22,O5,(O5*L16%)),0)</f>
        <v>0</v>
      </c>
      <c r="Q5" s="35">
        <f>P5*L4%</f>
        <v>0</v>
      </c>
      <c r="R5" s="35">
        <f>IF(AC11=J6,(P5+Q5)*L12%,0)</f>
        <v>0</v>
      </c>
      <c r="S5" s="56">
        <v>0</v>
      </c>
      <c r="T5" s="35"/>
      <c r="U5" s="60" t="s">
        <v>63</v>
      </c>
      <c r="V5" s="61">
        <v>3</v>
      </c>
      <c r="W5" s="23" t="s">
        <v>4</v>
      </c>
      <c r="X5" s="25" t="s">
        <v>104</v>
      </c>
      <c r="Z5" s="96"/>
      <c r="AA5" s="214" t="s">
        <v>123</v>
      </c>
      <c r="AB5" s="214" t="s">
        <v>113</v>
      </c>
      <c r="AC5" s="201">
        <v>0</v>
      </c>
      <c r="AD5" s="202"/>
      <c r="AE5" s="145"/>
      <c r="AF5" s="130"/>
      <c r="AH5" s="141"/>
      <c r="AI5" s="11"/>
      <c r="AJ5" s="11"/>
      <c r="AK5" s="11">
        <v>1</v>
      </c>
      <c r="AL5" s="11"/>
      <c r="AN5" s="120" t="s">
        <v>130</v>
      </c>
      <c r="AO5" s="121">
        <f>P4</f>
        <v>660000</v>
      </c>
    </row>
    <row r="6" spans="2:41" ht="34.5" customHeight="1" x14ac:dyDescent="0.2">
      <c r="B6" s="17"/>
      <c r="C6" s="4"/>
      <c r="D6" s="4"/>
      <c r="E6" s="4"/>
      <c r="F6" s="5"/>
      <c r="G6" s="11"/>
      <c r="H6" s="104">
        <v>18</v>
      </c>
      <c r="I6" s="1">
        <v>6</v>
      </c>
      <c r="J6" s="33" t="s">
        <v>88</v>
      </c>
      <c r="K6" s="104" t="s">
        <v>92</v>
      </c>
      <c r="L6" s="50">
        <f>(P6+Q6-R6-S6)*5%</f>
        <v>388000</v>
      </c>
      <c r="M6" s="11"/>
      <c r="N6" s="46" t="s">
        <v>18</v>
      </c>
      <c r="O6" s="101"/>
      <c r="P6" s="45">
        <f>SUM(P3:P5)</f>
        <v>7760000</v>
      </c>
      <c r="Q6" s="45">
        <f>SUM(Q3:Q5)</f>
        <v>0</v>
      </c>
      <c r="R6" s="45">
        <f>SUM(R3:R5)</f>
        <v>0</v>
      </c>
      <c r="S6" s="54">
        <f>SUM(S3:S5)</f>
        <v>0</v>
      </c>
      <c r="T6" s="35"/>
      <c r="U6" s="60" t="s">
        <v>64</v>
      </c>
      <c r="V6" s="61">
        <v>4</v>
      </c>
      <c r="W6" s="23" t="s">
        <v>4</v>
      </c>
      <c r="X6" s="25" t="s">
        <v>106</v>
      </c>
      <c r="Z6" s="96"/>
      <c r="AA6" s="114"/>
      <c r="AB6" s="103"/>
      <c r="AC6" s="103"/>
      <c r="AD6" s="103"/>
      <c r="AE6" s="131"/>
      <c r="AF6" s="130"/>
      <c r="AH6" s="141"/>
      <c r="AI6" s="11"/>
      <c r="AJ6" s="11"/>
      <c r="AK6" s="11"/>
      <c r="AL6" s="11"/>
      <c r="AN6" s="120" t="s">
        <v>50</v>
      </c>
      <c r="AO6" s="121">
        <f>P5</f>
        <v>0</v>
      </c>
    </row>
    <row r="7" spans="2:41" ht="34.5" customHeight="1" thickBot="1" x14ac:dyDescent="0.25">
      <c r="B7" s="18"/>
      <c r="C7" s="16"/>
      <c r="D7" s="16"/>
      <c r="E7" s="16"/>
      <c r="F7" s="6"/>
      <c r="G7" s="11"/>
      <c r="H7" s="104">
        <v>19</v>
      </c>
      <c r="I7" s="1">
        <v>8</v>
      </c>
      <c r="J7" s="33" t="s">
        <v>25</v>
      </c>
      <c r="K7" s="104" t="s">
        <v>93</v>
      </c>
      <c r="L7" s="50">
        <f>(P6+Q6-R6-S6)*1%</f>
        <v>77600</v>
      </c>
      <c r="M7" s="11"/>
      <c r="N7" s="12" t="s">
        <v>47</v>
      </c>
      <c r="O7" s="13"/>
      <c r="P7" s="57">
        <f>IF(AC11=J7,E17,E16)</f>
        <v>0</v>
      </c>
      <c r="Q7" s="57" t="s">
        <v>96</v>
      </c>
      <c r="R7" s="13" t="s">
        <v>96</v>
      </c>
      <c r="S7" s="8"/>
      <c r="T7" s="36"/>
      <c r="U7" s="60" t="s">
        <v>65</v>
      </c>
      <c r="V7" s="61">
        <v>5</v>
      </c>
      <c r="W7" s="23" t="s">
        <v>4</v>
      </c>
      <c r="X7" s="25" t="s">
        <v>105</v>
      </c>
      <c r="Z7" s="96"/>
      <c r="AA7" s="216" t="s">
        <v>57</v>
      </c>
      <c r="AB7" s="212">
        <v>1394</v>
      </c>
      <c r="AC7" s="150"/>
      <c r="AD7" s="212">
        <v>1394</v>
      </c>
      <c r="AE7" s="146"/>
      <c r="AF7" s="130"/>
      <c r="AH7" s="141"/>
      <c r="AI7" s="11"/>
      <c r="AJ7" s="189">
        <f>R11*1000</f>
        <v>8459000</v>
      </c>
      <c r="AK7" s="189"/>
      <c r="AL7" s="11"/>
      <c r="AM7" s="132"/>
      <c r="AN7" s="122" t="s">
        <v>18</v>
      </c>
      <c r="AO7" s="123">
        <f>P6</f>
        <v>7760000</v>
      </c>
    </row>
    <row r="8" spans="2:41" ht="34.5" customHeight="1" thickTop="1" thickBot="1" x14ac:dyDescent="0.25">
      <c r="B8" s="12"/>
      <c r="C8" s="13"/>
      <c r="D8" s="13"/>
      <c r="E8" s="13"/>
      <c r="F8" s="8"/>
      <c r="G8" s="11"/>
      <c r="H8" s="105">
        <v>20</v>
      </c>
      <c r="I8" s="3">
        <v>10</v>
      </c>
      <c r="J8" s="34" t="s">
        <v>89</v>
      </c>
      <c r="K8" s="51" t="s">
        <v>90</v>
      </c>
      <c r="L8" s="52">
        <f>SUM(L5:L7)</f>
        <v>698400</v>
      </c>
      <c r="M8" s="11"/>
      <c r="N8" s="109" t="s">
        <v>94</v>
      </c>
      <c r="O8" s="110"/>
      <c r="P8" s="111">
        <f>P6+Q6-R6+P7-S6</f>
        <v>7760000</v>
      </c>
      <c r="Q8" s="111"/>
      <c r="R8" s="110"/>
      <c r="S8" s="182"/>
      <c r="T8" s="35"/>
      <c r="U8" s="20" t="s">
        <v>78</v>
      </c>
      <c r="V8" s="22">
        <v>6</v>
      </c>
      <c r="W8" s="22" t="s">
        <v>20</v>
      </c>
      <c r="X8" s="21" t="s">
        <v>107</v>
      </c>
      <c r="Z8" s="96"/>
      <c r="AA8" s="217"/>
      <c r="AB8" s="212">
        <v>1</v>
      </c>
      <c r="AC8" s="151"/>
      <c r="AD8" s="212">
        <v>1</v>
      </c>
      <c r="AE8" s="131"/>
      <c r="AF8" s="130"/>
      <c r="AH8" s="142"/>
      <c r="AI8" s="140"/>
      <c r="AJ8" s="140"/>
      <c r="AK8" s="140"/>
      <c r="AL8" s="140"/>
      <c r="AM8" s="132"/>
      <c r="AN8" s="196" t="s">
        <v>99</v>
      </c>
      <c r="AO8" s="197"/>
    </row>
    <row r="9" spans="2:41" ht="34.5" customHeight="1" thickBot="1" x14ac:dyDescent="0.25">
      <c r="N9" s="4"/>
      <c r="O9" s="4"/>
      <c r="P9" s="55"/>
      <c r="Q9" s="55"/>
      <c r="R9" s="4"/>
      <c r="S9" s="183"/>
      <c r="T9" s="35"/>
      <c r="U9" s="20" t="s">
        <v>79</v>
      </c>
      <c r="V9" s="22">
        <v>8</v>
      </c>
      <c r="W9" s="22" t="s">
        <v>20</v>
      </c>
      <c r="X9" s="21" t="s">
        <v>108</v>
      </c>
      <c r="Z9" s="96"/>
      <c r="AA9" s="216" t="s">
        <v>51</v>
      </c>
      <c r="AB9" s="212">
        <v>1</v>
      </c>
      <c r="AC9" s="150"/>
      <c r="AD9" s="213">
        <v>1</v>
      </c>
      <c r="AE9" s="146"/>
      <c r="AF9" s="130"/>
      <c r="AH9" s="135" t="s">
        <v>132</v>
      </c>
      <c r="AI9" s="136" t="s">
        <v>56</v>
      </c>
      <c r="AJ9" s="192" t="str">
        <f>AB14</f>
        <v>پراید ، پیکان ، سپند</v>
      </c>
      <c r="AK9" s="192"/>
      <c r="AL9" s="193"/>
      <c r="AN9" s="120" t="s">
        <v>126</v>
      </c>
      <c r="AO9" s="121">
        <f>P7</f>
        <v>0</v>
      </c>
    </row>
    <row r="10" spans="2:41" ht="34.5" customHeight="1" thickBot="1" x14ac:dyDescent="0.25">
      <c r="H10" s="175" t="s">
        <v>16</v>
      </c>
      <c r="I10" s="176"/>
      <c r="K10" s="175" t="s">
        <v>38</v>
      </c>
      <c r="L10" s="176"/>
      <c r="M10" s="11"/>
      <c r="N10" s="17" t="s">
        <v>48</v>
      </c>
      <c r="O10" s="4"/>
      <c r="P10" s="55">
        <f>L8</f>
        <v>698400</v>
      </c>
      <c r="Q10" s="55"/>
      <c r="R10" s="4">
        <f>ROUNDUP((L8/100),0)</f>
        <v>6984</v>
      </c>
      <c r="S10" s="183"/>
      <c r="T10" s="35"/>
      <c r="U10" s="24" t="s">
        <v>78</v>
      </c>
      <c r="V10" s="23">
        <v>7</v>
      </c>
      <c r="W10" s="23" t="s">
        <v>21</v>
      </c>
      <c r="X10" s="21" t="s">
        <v>107</v>
      </c>
      <c r="Z10" s="96"/>
      <c r="AA10" s="114"/>
      <c r="AB10" s="114"/>
      <c r="AC10" s="114"/>
      <c r="AD10" s="114"/>
      <c r="AE10" s="133"/>
      <c r="AF10" s="130"/>
      <c r="AH10" s="135" t="s">
        <v>133</v>
      </c>
      <c r="AI10" s="136" t="s">
        <v>56</v>
      </c>
      <c r="AJ10" s="194" t="str">
        <f>VLOOKUP(AB14,U4:X27,4,0)</f>
        <v>انواع پراید / پیکان / هیلمن / سپند</v>
      </c>
      <c r="AK10" s="194"/>
      <c r="AL10" s="195"/>
      <c r="AN10" s="120" t="s">
        <v>127</v>
      </c>
      <c r="AO10" s="121">
        <f>Q6</f>
        <v>0</v>
      </c>
    </row>
    <row r="11" spans="2:41" ht="34.5" customHeight="1" thickBot="1" x14ac:dyDescent="0.25">
      <c r="C11" s="175" t="s">
        <v>39</v>
      </c>
      <c r="D11" s="177"/>
      <c r="E11" s="176"/>
      <c r="F11" s="38"/>
      <c r="G11" s="38"/>
      <c r="H11" s="104" t="s">
        <v>22</v>
      </c>
      <c r="I11" s="1" t="s">
        <v>3</v>
      </c>
      <c r="K11" s="104" t="s">
        <v>37</v>
      </c>
      <c r="L11" s="1" t="s">
        <v>23</v>
      </c>
      <c r="M11" s="11"/>
      <c r="N11" s="47" t="s">
        <v>17</v>
      </c>
      <c r="O11" s="102"/>
      <c r="P11" s="48">
        <f>P8+P10</f>
        <v>8458400</v>
      </c>
      <c r="Q11" s="48"/>
      <c r="R11" s="48">
        <f>ROUNDUP((P11)/1000,0)</f>
        <v>8459</v>
      </c>
      <c r="S11" s="184"/>
      <c r="T11" s="36"/>
      <c r="U11" s="24" t="s">
        <v>79</v>
      </c>
      <c r="V11" s="23">
        <v>9</v>
      </c>
      <c r="W11" s="23" t="s">
        <v>21</v>
      </c>
      <c r="X11" s="21" t="s">
        <v>108</v>
      </c>
      <c r="Z11" s="96"/>
      <c r="AA11" s="172" t="s">
        <v>124</v>
      </c>
      <c r="AB11" s="172"/>
      <c r="AC11" s="198" t="s">
        <v>88</v>
      </c>
      <c r="AD11" s="198"/>
      <c r="AE11" s="147"/>
      <c r="AF11" s="130"/>
      <c r="AH11" s="135" t="s">
        <v>0</v>
      </c>
      <c r="AI11" s="136" t="s">
        <v>56</v>
      </c>
      <c r="AJ11" s="192" t="str">
        <f>AC15</f>
        <v>شخصی</v>
      </c>
      <c r="AK11" s="192"/>
      <c r="AL11" s="193"/>
      <c r="AN11" s="120" t="s">
        <v>44</v>
      </c>
      <c r="AO11" s="121">
        <f>R6</f>
        <v>0</v>
      </c>
    </row>
    <row r="12" spans="2:41" ht="34.5" customHeight="1" thickBot="1" x14ac:dyDescent="0.25">
      <c r="C12" s="104" t="s">
        <v>14</v>
      </c>
      <c r="D12" s="16">
        <f>F7-F3</f>
        <v>0</v>
      </c>
      <c r="E12" s="178" t="s">
        <v>85</v>
      </c>
      <c r="F12" s="11"/>
      <c r="G12" s="11"/>
      <c r="H12" s="104">
        <v>1</v>
      </c>
      <c r="I12" s="1">
        <v>10</v>
      </c>
      <c r="K12" s="44">
        <f>R6</f>
        <v>0</v>
      </c>
      <c r="L12" s="3">
        <f>IF(AC12&gt;0,VLOOKUP(AC12,H12:I19,2),0)</f>
        <v>0</v>
      </c>
      <c r="M12" s="11"/>
      <c r="P12" s="108"/>
      <c r="T12" s="35"/>
      <c r="U12" s="20" t="s">
        <v>78</v>
      </c>
      <c r="V12" s="22">
        <v>18</v>
      </c>
      <c r="W12" s="22" t="s">
        <v>80</v>
      </c>
      <c r="X12" s="21" t="s">
        <v>107</v>
      </c>
      <c r="Z12" s="96"/>
      <c r="AA12" s="172" t="s">
        <v>52</v>
      </c>
      <c r="AB12" s="172"/>
      <c r="AC12" s="207">
        <v>0</v>
      </c>
      <c r="AD12" s="207"/>
      <c r="AE12" s="148"/>
      <c r="AF12" s="130"/>
      <c r="AH12" s="135" t="s">
        <v>53</v>
      </c>
      <c r="AI12" s="136" t="s">
        <v>56</v>
      </c>
      <c r="AJ12" s="136">
        <f>AC16</f>
        <v>1390</v>
      </c>
      <c r="AK12" s="134"/>
      <c r="AL12" s="137"/>
      <c r="AN12" s="124" t="s">
        <v>128</v>
      </c>
      <c r="AO12" s="125">
        <f>S6</f>
        <v>0</v>
      </c>
    </row>
    <row r="13" spans="2:41" ht="34.5" customHeight="1" thickBot="1" x14ac:dyDescent="0.25">
      <c r="C13" s="104" t="s">
        <v>45</v>
      </c>
      <c r="D13" s="16">
        <f>IF(D12&gt;365,365,IF(D12&lt;0,0,D12))</f>
        <v>0</v>
      </c>
      <c r="E13" s="179"/>
      <c r="F13" s="11"/>
      <c r="G13" s="11"/>
      <c r="H13" s="104">
        <v>2</v>
      </c>
      <c r="I13" s="1">
        <v>15</v>
      </c>
      <c r="N13" s="11"/>
      <c r="O13" s="11"/>
      <c r="P13" s="11"/>
      <c r="Q13" s="11"/>
      <c r="R13" s="11" t="s">
        <v>118</v>
      </c>
      <c r="S13" s="11"/>
      <c r="T13" s="35"/>
      <c r="U13" s="20" t="s">
        <v>79</v>
      </c>
      <c r="V13" s="22">
        <v>19</v>
      </c>
      <c r="W13" s="22" t="s">
        <v>80</v>
      </c>
      <c r="X13" s="21" t="s">
        <v>108</v>
      </c>
      <c r="Z13" s="96"/>
      <c r="AA13" s="116"/>
      <c r="AB13" s="115"/>
      <c r="AC13" s="115"/>
      <c r="AD13" s="115"/>
      <c r="AE13" s="116"/>
      <c r="AF13" s="130"/>
      <c r="AH13" s="135" t="s">
        <v>54</v>
      </c>
      <c r="AI13" s="136" t="s">
        <v>56</v>
      </c>
      <c r="AJ13" s="136">
        <f>IF(OR(AC11=J7,AC11=J8),0,AC12)</f>
        <v>0</v>
      </c>
      <c r="AK13" s="134" t="s">
        <v>23</v>
      </c>
      <c r="AL13" s="137" t="str">
        <f>IF(OR(AC11=J7,AC11=J8),0,(L12&amp;"%"))</f>
        <v>0%</v>
      </c>
      <c r="AN13" s="205" t="s">
        <v>49</v>
      </c>
      <c r="AO13" s="206"/>
    </row>
    <row r="14" spans="2:41" ht="34.5" customHeight="1" x14ac:dyDescent="0.2">
      <c r="C14" s="104" t="s">
        <v>46</v>
      </c>
      <c r="D14" s="10">
        <f>IF(AC15&lt;&gt;"",VLOOKUP(AC15,C23:J28,2,0),0)</f>
        <v>19500</v>
      </c>
      <c r="E14" s="39">
        <f>D14*L4%</f>
        <v>0</v>
      </c>
      <c r="F14" s="11"/>
      <c r="G14" s="11"/>
      <c r="H14" s="104">
        <v>3</v>
      </c>
      <c r="I14" s="1">
        <v>20</v>
      </c>
      <c r="K14" s="175" t="s">
        <v>114</v>
      </c>
      <c r="L14" s="176"/>
      <c r="M14" s="26"/>
      <c r="N14" s="11"/>
      <c r="O14" s="11"/>
      <c r="P14" s="35" t="s">
        <v>117</v>
      </c>
      <c r="Q14" s="16">
        <f>AC5</f>
        <v>0</v>
      </c>
      <c r="R14" s="16">
        <v>0</v>
      </c>
      <c r="S14" s="35"/>
      <c r="T14" s="37"/>
      <c r="U14" s="62" t="s">
        <v>69</v>
      </c>
      <c r="V14" s="63">
        <v>10</v>
      </c>
      <c r="W14" s="23" t="s">
        <v>81</v>
      </c>
      <c r="X14" s="88" t="s">
        <v>69</v>
      </c>
      <c r="Z14" s="219">
        <v>1</v>
      </c>
      <c r="AA14" s="116" t="s">
        <v>125</v>
      </c>
      <c r="AB14" s="185" t="s">
        <v>63</v>
      </c>
      <c r="AC14" s="185"/>
      <c r="AD14" s="185"/>
      <c r="AE14" s="149"/>
      <c r="AF14" s="130"/>
      <c r="AG14" s="11"/>
      <c r="AH14" s="138" t="s">
        <v>55</v>
      </c>
      <c r="AI14" s="139" t="s">
        <v>56</v>
      </c>
      <c r="AJ14" s="139">
        <f>IF(D12&lt;0,0,D12)</f>
        <v>0</v>
      </c>
      <c r="AK14" s="203" t="s">
        <v>101</v>
      </c>
      <c r="AL14" s="204"/>
      <c r="AN14" s="120" t="s">
        <v>94</v>
      </c>
      <c r="AO14" s="121">
        <f>P8</f>
        <v>7760000</v>
      </c>
    </row>
    <row r="15" spans="2:41" ht="34.5" customHeight="1" thickBot="1" x14ac:dyDescent="0.25">
      <c r="C15" s="187" t="s">
        <v>84</v>
      </c>
      <c r="D15" s="188"/>
      <c r="E15" s="40">
        <f>D14+E14</f>
        <v>19500</v>
      </c>
      <c r="F15" s="11"/>
      <c r="G15" s="11"/>
      <c r="H15" s="104">
        <v>4</v>
      </c>
      <c r="I15" s="1">
        <v>30</v>
      </c>
      <c r="K15" s="104" t="s">
        <v>111</v>
      </c>
      <c r="L15" s="1" t="s">
        <v>112</v>
      </c>
      <c r="N15" s="11"/>
      <c r="O15" s="35"/>
      <c r="P15" s="35"/>
      <c r="Q15" s="11"/>
      <c r="R15" s="112">
        <v>5</v>
      </c>
      <c r="S15" s="35"/>
      <c r="U15" s="62" t="s">
        <v>70</v>
      </c>
      <c r="V15" s="63">
        <v>11</v>
      </c>
      <c r="W15" s="23" t="s">
        <v>81</v>
      </c>
      <c r="X15" s="88" t="s">
        <v>70</v>
      </c>
      <c r="Z15" s="96"/>
      <c r="AA15" s="174" t="s">
        <v>100</v>
      </c>
      <c r="AB15" s="174"/>
      <c r="AC15" s="218" t="s">
        <v>4</v>
      </c>
      <c r="AD15" s="218"/>
      <c r="AE15" s="143"/>
      <c r="AF15" s="97"/>
      <c r="AN15" s="126" t="s">
        <v>48</v>
      </c>
      <c r="AO15" s="127">
        <f>P10</f>
        <v>698400</v>
      </c>
    </row>
    <row r="16" spans="2:41" ht="34.5" customHeight="1" thickBot="1" x14ac:dyDescent="0.25">
      <c r="C16" s="165" t="s">
        <v>98</v>
      </c>
      <c r="D16" s="166"/>
      <c r="E16" s="41">
        <f>E15*D13</f>
        <v>0</v>
      </c>
      <c r="H16" s="104">
        <v>5</v>
      </c>
      <c r="I16" s="1">
        <v>40</v>
      </c>
      <c r="K16" s="44" t="str">
        <f>AC4</f>
        <v>365 روز</v>
      </c>
      <c r="L16" s="3" t="str">
        <f>VLOOKUP(K16,K21:L22,2,0)</f>
        <v>-</v>
      </c>
      <c r="N16" s="11"/>
      <c r="O16" s="11"/>
      <c r="P16" s="35"/>
      <c r="Q16" s="35"/>
      <c r="R16" s="112">
        <v>10</v>
      </c>
      <c r="S16" s="35"/>
      <c r="U16" s="62" t="s">
        <v>71</v>
      </c>
      <c r="V16" s="63">
        <v>12</v>
      </c>
      <c r="W16" s="23" t="s">
        <v>81</v>
      </c>
      <c r="X16" s="88" t="s">
        <v>71</v>
      </c>
      <c r="Z16" s="96"/>
      <c r="AA16" s="172" t="s">
        <v>83</v>
      </c>
      <c r="AB16" s="173"/>
      <c r="AC16" s="199">
        <v>1390</v>
      </c>
      <c r="AD16" s="200"/>
      <c r="AE16" s="144"/>
      <c r="AF16" s="97"/>
      <c r="AI16" s="132"/>
      <c r="AJ16" s="132"/>
      <c r="AK16" s="132"/>
      <c r="AL16" s="132"/>
      <c r="AN16" s="128" t="s">
        <v>17</v>
      </c>
      <c r="AO16" s="129">
        <f>P11</f>
        <v>8458400</v>
      </c>
    </row>
    <row r="17" spans="2:35" ht="33" customHeight="1" thickBot="1" x14ac:dyDescent="0.25">
      <c r="C17" s="165" t="s">
        <v>97</v>
      </c>
      <c r="D17" s="166"/>
      <c r="E17" s="41">
        <f>O3+Q3</f>
        <v>7100000</v>
      </c>
      <c r="H17" s="104">
        <v>6</v>
      </c>
      <c r="I17" s="1">
        <v>50</v>
      </c>
      <c r="N17" s="11"/>
      <c r="O17" s="11"/>
      <c r="P17" s="35"/>
      <c r="Q17" s="11"/>
      <c r="R17" s="112">
        <v>15</v>
      </c>
      <c r="S17" s="35"/>
      <c r="U17" s="62" t="s">
        <v>72</v>
      </c>
      <c r="V17" s="63">
        <v>13</v>
      </c>
      <c r="W17" s="23" t="s">
        <v>81</v>
      </c>
      <c r="X17" s="88" t="s">
        <v>72</v>
      </c>
      <c r="Z17" s="98"/>
      <c r="AA17" s="99"/>
      <c r="AB17" s="99"/>
      <c r="AC17" s="99"/>
      <c r="AD17" s="99"/>
      <c r="AE17" s="99"/>
      <c r="AF17" s="100"/>
    </row>
    <row r="18" spans="2:35" ht="33" customHeight="1" x14ac:dyDescent="0.2">
      <c r="D18" s="14"/>
      <c r="E18" s="14"/>
      <c r="H18" s="104">
        <v>7</v>
      </c>
      <c r="I18" s="1">
        <v>60</v>
      </c>
      <c r="N18" s="11"/>
      <c r="O18" s="11"/>
      <c r="P18" s="35"/>
      <c r="Q18" s="11"/>
      <c r="R18" s="11"/>
      <c r="S18" s="11"/>
      <c r="U18" s="62" t="s">
        <v>73</v>
      </c>
      <c r="V18" s="63">
        <v>14</v>
      </c>
      <c r="W18" s="23" t="s">
        <v>81</v>
      </c>
      <c r="X18" s="88" t="s">
        <v>73</v>
      </c>
      <c r="AH18" s="58"/>
      <c r="AI18" s="59"/>
    </row>
    <row r="19" spans="2:35" ht="33" customHeight="1" thickBot="1" x14ac:dyDescent="0.25">
      <c r="D19" s="14"/>
      <c r="E19" s="14"/>
      <c r="H19" s="105">
        <v>8</v>
      </c>
      <c r="I19" s="3">
        <v>70</v>
      </c>
      <c r="N19" s="11"/>
      <c r="O19" s="11"/>
      <c r="P19" s="35"/>
      <c r="Q19" s="11"/>
      <c r="R19" s="11"/>
      <c r="S19" s="11"/>
      <c r="U19" s="62" t="s">
        <v>74</v>
      </c>
      <c r="V19" s="63">
        <v>15</v>
      </c>
      <c r="W19" s="23" t="s">
        <v>81</v>
      </c>
      <c r="X19" s="88" t="s">
        <v>74</v>
      </c>
      <c r="AA19" s="186"/>
      <c r="AB19" s="186"/>
      <c r="AC19" s="186"/>
      <c r="AD19" s="186"/>
      <c r="AH19" s="38"/>
    </row>
    <row r="20" spans="2:35" ht="33" customHeight="1" thickBot="1" x14ac:dyDescent="0.25">
      <c r="D20" s="14"/>
      <c r="E20" s="14"/>
      <c r="K20" s="170" t="s">
        <v>115</v>
      </c>
      <c r="L20" s="171"/>
      <c r="N20" s="11"/>
      <c r="O20" s="11"/>
      <c r="P20" s="35"/>
      <c r="Q20" s="11"/>
      <c r="R20" s="11"/>
      <c r="S20" s="11"/>
      <c r="U20" s="62" t="s">
        <v>75</v>
      </c>
      <c r="V20" s="63">
        <v>16</v>
      </c>
      <c r="W20" s="23" t="s">
        <v>81</v>
      </c>
      <c r="X20" s="88" t="s">
        <v>75</v>
      </c>
    </row>
    <row r="21" spans="2:35" ht="28.5" customHeight="1" x14ac:dyDescent="0.2">
      <c r="B21" s="167" t="s">
        <v>36</v>
      </c>
      <c r="C21" s="168"/>
      <c r="D21" s="168"/>
      <c r="E21" s="168"/>
      <c r="F21" s="168"/>
      <c r="G21" s="168"/>
      <c r="H21" s="168"/>
      <c r="I21" s="168"/>
      <c r="J21" s="169"/>
      <c r="K21" s="104" t="s">
        <v>111</v>
      </c>
      <c r="L21" s="1" t="s">
        <v>112</v>
      </c>
      <c r="N21" s="11"/>
      <c r="O21" s="11"/>
      <c r="P21" s="35"/>
      <c r="Q21" s="35"/>
      <c r="R21" s="11"/>
      <c r="S21" s="11"/>
      <c r="U21" s="62" t="s">
        <v>76</v>
      </c>
      <c r="V21" s="63">
        <v>17</v>
      </c>
      <c r="W21" s="23" t="s">
        <v>81</v>
      </c>
      <c r="X21" s="88" t="s">
        <v>76</v>
      </c>
    </row>
    <row r="22" spans="2:35" ht="28.5" customHeight="1" x14ac:dyDescent="0.2">
      <c r="B22" s="31" t="s">
        <v>19</v>
      </c>
      <c r="C22" s="32" t="s">
        <v>0</v>
      </c>
      <c r="D22" s="64" t="s">
        <v>82</v>
      </c>
      <c r="E22" s="65" t="s">
        <v>27</v>
      </c>
      <c r="F22" s="65" t="s">
        <v>29</v>
      </c>
      <c r="G22" s="65" t="s">
        <v>28</v>
      </c>
      <c r="H22" s="65" t="s">
        <v>59</v>
      </c>
      <c r="I22" s="65" t="s">
        <v>24</v>
      </c>
      <c r="J22" s="66" t="s">
        <v>25</v>
      </c>
      <c r="K22" s="104" t="s">
        <v>121</v>
      </c>
      <c r="L22" s="1" t="s">
        <v>96</v>
      </c>
      <c r="N22" s="11"/>
      <c r="O22" s="11"/>
      <c r="P22" s="11"/>
      <c r="Q22" s="11"/>
      <c r="R22" s="11"/>
      <c r="S22" s="11"/>
      <c r="U22" s="67" t="s">
        <v>9</v>
      </c>
      <c r="V22" s="68">
        <v>20</v>
      </c>
      <c r="W22" s="22" t="s">
        <v>8</v>
      </c>
      <c r="X22" s="21" t="s">
        <v>109</v>
      </c>
    </row>
    <row r="23" spans="2:35" ht="28.5" customHeight="1" x14ac:dyDescent="0.2">
      <c r="B23" s="28">
        <f>SUMIF(U4:U7,AB14,V4:V7)</f>
        <v>3</v>
      </c>
      <c r="C23" s="27" t="s">
        <v>4</v>
      </c>
      <c r="D23" s="69">
        <f>IF(B23&gt;0,VLOOKUP(B23,main!$A$5:$J$29,4,0),0)</f>
        <v>19500</v>
      </c>
      <c r="E23" s="70">
        <f>IF(B23&gt;0,VLOOKUP(B23,main!$A$5:$J$29,5,0),0)</f>
        <v>7100000</v>
      </c>
      <c r="F23" s="70">
        <f>IF(B23&gt;0,VLOOKUP(B23,main!$A$5:$J$29,6,0),0)</f>
        <v>0</v>
      </c>
      <c r="G23" s="70">
        <f>IF(B23&gt;0,VLOOKUP(B23,main!$A$5:$J$29,7,0),0)</f>
        <v>660000</v>
      </c>
      <c r="H23" s="70">
        <f>IF(B23&gt;0,VLOOKUP(B23,main!$A$5:$J$29,8,0),0)</f>
        <v>698400</v>
      </c>
      <c r="I23" s="70">
        <f>IF(B23&gt;0,VLOOKUP(B23,main!$A$5:$J$29,9,0),0)</f>
        <v>8458400</v>
      </c>
      <c r="J23" s="71">
        <f>IF(B23&gt;0,VLOOKUP(B23,main!$A$5:$J$29,10,0),0)</f>
        <v>15558400</v>
      </c>
      <c r="N23" s="11"/>
      <c r="O23" s="11"/>
      <c r="P23" s="11"/>
      <c r="Q23" s="11"/>
      <c r="R23" s="11"/>
      <c r="S23" s="11"/>
      <c r="U23" s="67" t="s">
        <v>10</v>
      </c>
      <c r="V23" s="68">
        <v>21</v>
      </c>
      <c r="W23" s="22" t="s">
        <v>8</v>
      </c>
      <c r="X23" s="21" t="s">
        <v>110</v>
      </c>
    </row>
    <row r="24" spans="2:35" ht="28.5" customHeight="1" x14ac:dyDescent="0.2">
      <c r="B24" s="28">
        <f>SUMIF(U8:U9,AB14,V8:V9)</f>
        <v>0</v>
      </c>
      <c r="C24" s="27" t="s">
        <v>20</v>
      </c>
      <c r="D24" s="69">
        <f>IF(B24&gt;0,VLOOKUP(B24,main!$A$5:$J$29,4,0),0)</f>
        <v>0</v>
      </c>
      <c r="E24" s="70">
        <f>IF(B24&gt;0,VLOOKUP(B24,main!$A$5:$J$29,5,0),0)</f>
        <v>0</v>
      </c>
      <c r="F24" s="70">
        <f>IF(B24&gt;0,VLOOKUP(B24,main!$A$5:$J$29,6,0),0)</f>
        <v>0</v>
      </c>
      <c r="G24" s="70">
        <f>IF(B24&gt;0,VLOOKUP(B24,main!$A$5:$J$29,7,0),0)</f>
        <v>0</v>
      </c>
      <c r="H24" s="70">
        <f>IF(B24&gt;0,VLOOKUP(B24,main!$A$5:$J$29,8,0),0)</f>
        <v>0</v>
      </c>
      <c r="I24" s="70">
        <f>IF(B24&gt;0,VLOOKUP(B24,main!$A$5:$J$29,9,0),0)</f>
        <v>0</v>
      </c>
      <c r="J24" s="71">
        <f>IF(B24&gt;0,VLOOKUP(B24,main!$A$5:$J$29,10,0),0)</f>
        <v>0</v>
      </c>
      <c r="N24" s="11"/>
      <c r="O24" s="11"/>
      <c r="P24" s="11"/>
      <c r="Q24" s="11"/>
      <c r="R24" s="11"/>
      <c r="S24" s="11"/>
      <c r="U24" s="67" t="s">
        <v>11</v>
      </c>
      <c r="V24" s="68">
        <v>22</v>
      </c>
      <c r="W24" s="22" t="s">
        <v>8</v>
      </c>
      <c r="X24" s="89" t="s">
        <v>11</v>
      </c>
    </row>
    <row r="25" spans="2:35" ht="28.5" customHeight="1" x14ac:dyDescent="0.2">
      <c r="B25" s="28">
        <f>SUMIF(U10:U11,AB14,V10:V11)</f>
        <v>0</v>
      </c>
      <c r="C25" s="27" t="s">
        <v>21</v>
      </c>
      <c r="D25" s="69">
        <f>IF(B25&gt;0,VLOOKUP(B25,main!$A$5:$J$29,4,0),0)</f>
        <v>0</v>
      </c>
      <c r="E25" s="70">
        <f>IF(B25&gt;0,VLOOKUP(B25,main!$A$5:$J$29,5,0),0)</f>
        <v>0</v>
      </c>
      <c r="F25" s="70">
        <f>IF(B25&gt;0,VLOOKUP(B25,main!$A$5:$J$29,6,0),0)</f>
        <v>0</v>
      </c>
      <c r="G25" s="70">
        <f>IF(B25&gt;0,VLOOKUP(B25,main!$A$5:$J$29,7,0),0)</f>
        <v>0</v>
      </c>
      <c r="H25" s="70">
        <f>IF(B25&gt;0,VLOOKUP(B25,main!$A$5:$J$29,8,0),0)</f>
        <v>0</v>
      </c>
      <c r="I25" s="70">
        <f>IF(B25&gt;0,VLOOKUP(B25,main!$A$5:$J$29,9,0),0)</f>
        <v>0</v>
      </c>
      <c r="J25" s="71">
        <f>IF(B25&gt;0,VLOOKUP(B25,main!$A$5:$J$29,10,0),0)</f>
        <v>0</v>
      </c>
      <c r="K25" s="26"/>
      <c r="N25" s="11"/>
      <c r="O25" s="11"/>
      <c r="P25" s="11"/>
      <c r="Q25" s="11"/>
      <c r="R25" s="11"/>
      <c r="S25" s="11"/>
      <c r="U25" s="67" t="s">
        <v>12</v>
      </c>
      <c r="V25" s="68">
        <v>23</v>
      </c>
      <c r="W25" s="22" t="s">
        <v>8</v>
      </c>
      <c r="X25" s="89" t="s">
        <v>12</v>
      </c>
    </row>
    <row r="26" spans="2:35" ht="28.5" customHeight="1" x14ac:dyDescent="0.2">
      <c r="B26" s="28">
        <f>SUMIF(U12:U13,AB14,V12:V13)</f>
        <v>0</v>
      </c>
      <c r="C26" s="27" t="s">
        <v>80</v>
      </c>
      <c r="D26" s="69">
        <f>IF(B26&gt;0,VLOOKUP(B26,main!$A$5:$J$29,4,0),0)</f>
        <v>0</v>
      </c>
      <c r="E26" s="70">
        <f>IF(B26&gt;0,VLOOKUP(B26,main!$A$5:$J$29,5,0),0)</f>
        <v>0</v>
      </c>
      <c r="F26" s="70">
        <f>IF(B26&gt;0,VLOOKUP(B26,main!$A$5:$J$29,6,0),0)</f>
        <v>0</v>
      </c>
      <c r="G26" s="70">
        <f>IF(B26&gt;0,VLOOKUP(B26,main!$A$5:$J$29,7,0),0)</f>
        <v>0</v>
      </c>
      <c r="H26" s="70">
        <f>IF(B26&gt;0,VLOOKUP(B26,main!$A$5:$J$29,8,0),0)</f>
        <v>0</v>
      </c>
      <c r="I26" s="70">
        <f>IF(B26&gt;0,VLOOKUP(B26,main!$A$5:$J$29,9,0),0)</f>
        <v>0</v>
      </c>
      <c r="J26" s="71">
        <f>IF(B26&gt;0,VLOOKUP(B26,main!$A$5:$J$29,10,0),0)</f>
        <v>0</v>
      </c>
      <c r="N26" s="11"/>
      <c r="O26" s="11"/>
      <c r="P26" s="11"/>
      <c r="Q26" s="11"/>
      <c r="R26" s="11"/>
      <c r="S26" s="11"/>
      <c r="U26" s="67" t="s">
        <v>13</v>
      </c>
      <c r="V26" s="68">
        <v>24</v>
      </c>
      <c r="W26" s="22" t="s">
        <v>8</v>
      </c>
      <c r="X26" s="89" t="s">
        <v>13</v>
      </c>
    </row>
    <row r="27" spans="2:35" ht="28.5" customHeight="1" thickBot="1" x14ac:dyDescent="0.25">
      <c r="B27" s="28">
        <f>SUMIF(U14:U21,AB14,V14:V21)</f>
        <v>0</v>
      </c>
      <c r="C27" s="27" t="s">
        <v>81</v>
      </c>
      <c r="D27" s="69">
        <f>IF(B27&gt;0,VLOOKUP(B27,main!$A$5:$J$29,4,0),0)</f>
        <v>0</v>
      </c>
      <c r="E27" s="70">
        <f>IF(B27&gt;0,VLOOKUP(B27,main!$A$5:$J$29,5,0),0)</f>
        <v>0</v>
      </c>
      <c r="F27" s="70">
        <f>IF(B27&gt;0,VLOOKUP(B27,main!$A$5:$J$29,6,0),0)</f>
        <v>0</v>
      </c>
      <c r="G27" s="70">
        <f>IF(B27&gt;0,VLOOKUP(B27,main!$A$5:$J$29,7,0),0)</f>
        <v>0</v>
      </c>
      <c r="H27" s="70">
        <f>IF(B27&gt;0,VLOOKUP(B27,main!$A$5:$J$29,8,0),0)</f>
        <v>0</v>
      </c>
      <c r="I27" s="70">
        <f>IF(B27&gt;0,VLOOKUP(B27,main!$A$5:$J$29,9,0),0)</f>
        <v>0</v>
      </c>
      <c r="J27" s="71">
        <f>IF(B27&gt;0,VLOOKUP(B27,main!$A$5:$J$29,10,0),0)</f>
        <v>0</v>
      </c>
      <c r="L27" s="26"/>
      <c r="U27" s="72" t="s">
        <v>77</v>
      </c>
      <c r="V27" s="73">
        <v>25</v>
      </c>
      <c r="W27" s="90" t="s">
        <v>8</v>
      </c>
      <c r="X27" s="91" t="s">
        <v>77</v>
      </c>
    </row>
    <row r="28" spans="2:35" ht="28.5" customHeight="1" thickBot="1" x14ac:dyDescent="0.25">
      <c r="B28" s="29">
        <f>SUMIF(U22:U27,AB14,V22:V27)</f>
        <v>0</v>
      </c>
      <c r="C28" s="30" t="s">
        <v>8</v>
      </c>
      <c r="D28" s="74">
        <f>IF(B28&gt;0,VLOOKUP(B28,main!$A$5:$J$29,4,0),0)</f>
        <v>0</v>
      </c>
      <c r="E28" s="75">
        <f>IF(B28&gt;0,VLOOKUP(B28,main!$A$5:$J$29,5,0),0)</f>
        <v>0</v>
      </c>
      <c r="F28" s="75">
        <f>IF(B28&gt;0,VLOOKUP(B28,main!$A$5:$J$29,6,0),0)</f>
        <v>0</v>
      </c>
      <c r="G28" s="75">
        <f>IF(B28&gt;0,VLOOKUP(B28,main!$A$5:$J$29,7,0),0)</f>
        <v>0</v>
      </c>
      <c r="H28" s="75">
        <f>IF(B28&gt;0,VLOOKUP(B28,main!$A$5:$J$29,8,0),0)</f>
        <v>0</v>
      </c>
      <c r="I28" s="75">
        <f>IF(B28&gt;0,VLOOKUP(B28,main!$A$5:$J$29,9,0),0)</f>
        <v>0</v>
      </c>
      <c r="J28" s="76">
        <f>IF(B28&gt;0,VLOOKUP(B28,main!$A$5:$J$29,10,0),0)</f>
        <v>0</v>
      </c>
      <c r="L28" s="26"/>
    </row>
    <row r="29" spans="2:35" ht="28.5" customHeight="1" x14ac:dyDescent="0.2">
      <c r="B29" s="11"/>
      <c r="C29" s="11"/>
      <c r="D29" s="9"/>
      <c r="E29" s="9"/>
      <c r="L29" s="26"/>
    </row>
    <row r="30" spans="2:35" ht="28.5" customHeight="1" x14ac:dyDescent="0.2">
      <c r="B30" s="11"/>
      <c r="C30" s="11"/>
      <c r="D30" s="9"/>
      <c r="M30" s="26"/>
      <c r="N30" s="26"/>
      <c r="O30" s="26"/>
      <c r="P30" s="26"/>
      <c r="Q30" s="26"/>
    </row>
    <row r="31" spans="2:35" ht="28.5" customHeight="1" x14ac:dyDescent="0.2">
      <c r="M31" s="26"/>
      <c r="N31" s="26"/>
      <c r="O31" s="26"/>
      <c r="P31" s="26"/>
      <c r="Q31" s="26"/>
    </row>
    <row r="32" spans="2:35" ht="28.5" customHeight="1" x14ac:dyDescent="0.2">
      <c r="M32" s="26"/>
      <c r="N32" s="26"/>
      <c r="O32" s="26"/>
      <c r="P32" s="26"/>
      <c r="Q32" s="26"/>
      <c r="AF32" s="15"/>
    </row>
    <row r="33" spans="32:34" ht="28.5" customHeight="1" x14ac:dyDescent="0.2">
      <c r="AF33" s="15"/>
    </row>
    <row r="34" spans="32:34" ht="28.5" customHeight="1" x14ac:dyDescent="0.2">
      <c r="AF34" s="15"/>
    </row>
    <row r="35" spans="32:34" ht="28.5" customHeight="1" x14ac:dyDescent="0.2">
      <c r="AF35" s="15"/>
    </row>
    <row r="36" spans="32:34" ht="28.5" customHeight="1" x14ac:dyDescent="0.2">
      <c r="AF36" s="15"/>
    </row>
    <row r="37" spans="32:34" ht="28.5" customHeight="1" x14ac:dyDescent="0.2">
      <c r="AF37" s="15"/>
      <c r="AH37" s="19"/>
    </row>
    <row r="38" spans="32:34" ht="28.5" customHeight="1" x14ac:dyDescent="0.2">
      <c r="AF38" s="15"/>
      <c r="AH38" s="19"/>
    </row>
    <row r="39" spans="32:34" ht="28.5" customHeight="1" x14ac:dyDescent="0.2">
      <c r="AH39" s="19"/>
    </row>
    <row r="40" spans="32:34" ht="28.5" customHeight="1" x14ac:dyDescent="0.2">
      <c r="AH40" s="19"/>
    </row>
    <row r="41" spans="32:34" ht="28.5" customHeight="1" x14ac:dyDescent="0.2">
      <c r="AH41" s="19"/>
    </row>
    <row r="42" spans="32:34" ht="28.5" customHeight="1" x14ac:dyDescent="0.2">
      <c r="AH42" s="19"/>
    </row>
    <row r="43" spans="32:34" ht="28.5" customHeight="1" x14ac:dyDescent="0.2">
      <c r="AH43" s="19"/>
    </row>
  </sheetData>
  <sheetProtection password="8DA3" sheet="1" objects="1" scenarios="1"/>
  <mergeCells count="38">
    <mergeCell ref="Y1:AF1"/>
    <mergeCell ref="H2:I2"/>
    <mergeCell ref="J2:L2"/>
    <mergeCell ref="U2:W2"/>
    <mergeCell ref="AA16:AB16"/>
    <mergeCell ref="AC16:AD16"/>
    <mergeCell ref="AJ7:AK7"/>
    <mergeCell ref="C16:D16"/>
    <mergeCell ref="AN3:AO3"/>
    <mergeCell ref="AJ9:AL9"/>
    <mergeCell ref="AJ10:AL10"/>
    <mergeCell ref="AN8:AO8"/>
    <mergeCell ref="AA11:AB11"/>
    <mergeCell ref="AC11:AD11"/>
    <mergeCell ref="AJ11:AL11"/>
    <mergeCell ref="AC4:AD4"/>
    <mergeCell ref="AC5:AD5"/>
    <mergeCell ref="AK14:AL14"/>
    <mergeCell ref="AN13:AO13"/>
    <mergeCell ref="K10:L10"/>
    <mergeCell ref="AA12:AB12"/>
    <mergeCell ref="AC12:AD12"/>
    <mergeCell ref="C17:D17"/>
    <mergeCell ref="B21:J21"/>
    <mergeCell ref="K20:L20"/>
    <mergeCell ref="AA4:AB4"/>
    <mergeCell ref="AA15:AB15"/>
    <mergeCell ref="H10:I10"/>
    <mergeCell ref="C11:E11"/>
    <mergeCell ref="E12:E13"/>
    <mergeCell ref="J3:J4"/>
    <mergeCell ref="K14:L14"/>
    <mergeCell ref="S8:S11"/>
    <mergeCell ref="AA5:AB5"/>
    <mergeCell ref="AB14:AD14"/>
    <mergeCell ref="AA19:AD19"/>
    <mergeCell ref="AC15:AD15"/>
    <mergeCell ref="C15:D15"/>
  </mergeCells>
  <conditionalFormatting sqref="AC11">
    <cfRule type="cellIs" dxfId="10" priority="9" operator="equal">
      <formula>$W$12</formula>
    </cfRule>
    <cfRule type="cellIs" dxfId="9" priority="10" operator="equal">
      <formula>$W$11</formula>
    </cfRule>
    <cfRule type="cellIs" dxfId="8" priority="11" operator="equal">
      <formula>$W$10</formula>
    </cfRule>
  </conditionalFormatting>
  <conditionalFormatting sqref="AC11:AE11">
    <cfRule type="cellIs" dxfId="7" priority="6" operator="equal">
      <formula>$J$8</formula>
    </cfRule>
    <cfRule type="cellIs" dxfId="6" priority="7" operator="equal">
      <formula>$J$7</formula>
    </cfRule>
    <cfRule type="cellIs" dxfId="5" priority="8" operator="equal">
      <formula>$J$6</formula>
    </cfRule>
  </conditionalFormatting>
  <conditionalFormatting sqref="AB9 AD9">
    <cfRule type="cellIs" dxfId="4" priority="4" operator="equal">
      <formula>0</formula>
    </cfRule>
    <cfRule type="cellIs" dxfId="3" priority="5" operator="greaterThan">
      <formula>31</formula>
    </cfRule>
  </conditionalFormatting>
  <conditionalFormatting sqref="AB8 AD8">
    <cfRule type="cellIs" dxfId="2" priority="2" operator="equal">
      <formula>0</formula>
    </cfRule>
    <cfRule type="cellIs" dxfId="1" priority="3" operator="greaterThan">
      <formula>12</formula>
    </cfRule>
  </conditionalFormatting>
  <conditionalFormatting sqref="AB7 AD7">
    <cfRule type="cellIs" dxfId="0" priority="1" operator="equal">
      <formula>0</formula>
    </cfRule>
  </conditionalFormatting>
  <dataValidations count="7">
    <dataValidation type="list" errorStyle="information" allowBlank="1" errorTitle="خطا" error="گروه وارد شده در لیست موجود نیست" promptTitle="انتخاب گروه وسیله نقلیه" prompt="از لیست" sqref="AB14">
      <formula1>$U$4:$U$7</formula1>
    </dataValidation>
    <dataValidation type="list" allowBlank="1" error="لطفا یکی از موارد لیست را انتخاب کنید" promptTitle="انتخاب وضعیت بیمه نامه" prompt="از لیست " sqref="AC11:AE11">
      <formula1>$J$6:$J$8</formula1>
    </dataValidation>
    <dataValidation type="list" allowBlank="1" showInputMessage="1" showErrorMessage="1" sqref="AC15:AD15">
      <formula1>$C$23:$C$28</formula1>
    </dataValidation>
    <dataValidation type="list" allowBlank="1" showInputMessage="1" showErrorMessage="1" sqref="AC5:AD5">
      <formula1>$R$14:$R$17</formula1>
    </dataValidation>
    <dataValidation allowBlank="1" prompt="لیست مدت بیمه نامه" sqref="AE4"/>
    <dataValidation type="list" errorStyle="information" allowBlank="1" showInputMessage="1" showErrorMessage="1" errorTitle="اشتباه" error="لطفا یکی از موارد لیست زیر را انتخاب کنید" promptTitle="انتخاب نوع بیمه نامه " prompt="از لیست زیر مدت بیمه نامه را انتخاب کنید" sqref="AB4:AB5">
      <formula1>$K$22:$K$22</formula1>
    </dataValidation>
    <dataValidation allowBlank="1" prompt="لیست مدت بیمه نامه" sqref="AC4:AD4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Spinner 5">
              <controlPr defaultSize="0" autoPict="0">
                <anchor moveWithCells="1">
                  <from>
                    <xdr:col>28</xdr:col>
                    <xdr:colOff>38100</xdr:colOff>
                    <xdr:row>8</xdr:row>
                    <xdr:rowOff>47625</xdr:rowOff>
                  </from>
                  <to>
                    <xdr:col>28</xdr:col>
                    <xdr:colOff>361950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Spinner 16">
              <controlPr defaultSize="0" autoPict="0">
                <anchor moveWithCells="1">
                  <from>
                    <xdr:col>30</xdr:col>
                    <xdr:colOff>38100</xdr:colOff>
                    <xdr:row>8</xdr:row>
                    <xdr:rowOff>38100</xdr:rowOff>
                  </from>
                  <to>
                    <xdr:col>30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Spinner 17">
              <controlPr defaultSize="0" autoPict="0">
                <anchor moveWithCells="1">
                  <from>
                    <xdr:col>28</xdr:col>
                    <xdr:colOff>38100</xdr:colOff>
                    <xdr:row>7</xdr:row>
                    <xdr:rowOff>9525</xdr:rowOff>
                  </from>
                  <to>
                    <xdr:col>28</xdr:col>
                    <xdr:colOff>361950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Spinner 18">
              <controlPr defaultSize="0" autoPict="0">
                <anchor moveWithCells="1">
                  <from>
                    <xdr:col>30</xdr:col>
                    <xdr:colOff>38100</xdr:colOff>
                    <xdr:row>7</xdr:row>
                    <xdr:rowOff>9525</xdr:rowOff>
                  </from>
                  <to>
                    <xdr:col>30</xdr:col>
                    <xdr:colOff>361950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01</vt:lpstr>
      <vt:lpstr>'01'!شخصی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hedesh</dc:creator>
  <cp:lastModifiedBy>AB</cp:lastModifiedBy>
  <cp:lastPrinted>2014-02-19T10:21:16Z</cp:lastPrinted>
  <dcterms:created xsi:type="dcterms:W3CDTF">2014-02-16T09:11:38Z</dcterms:created>
  <dcterms:modified xsi:type="dcterms:W3CDTF">2015-08-19T10:30:02Z</dcterms:modified>
</cp:coreProperties>
</file>